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inda\OneDrive - Academy of Science of South Africa\Desktop\SAJS awards\2021 articles\SAJS 117 5-6\"/>
    </mc:Choice>
  </mc:AlternateContent>
  <xr:revisionPtr revIDLastSave="0" documentId="8_{95F12710-A7B8-4906-8BAA-CF3ADC831DDC}" xr6:coauthVersionLast="47" xr6:coauthVersionMax="47" xr10:uidLastSave="{00000000-0000-0000-0000-000000000000}"/>
  <bookViews>
    <workbookView xWindow="-120" yWindow="-120" windowWidth="20730" windowHeight="11160" tabRatio="722" firstSheet="3" activeTab="4" xr2:uid="{00000000-000D-0000-FFFF-FFFF00000000}"/>
  </bookViews>
  <sheets>
    <sheet name="HOW TO CITE" sheetId="6" r:id="rId1"/>
    <sheet name="Supplementary figure 1" sheetId="7" r:id="rId2"/>
    <sheet name="Supplementary table 1" sheetId="1" r:id="rId3"/>
    <sheet name="Supplementary table 2" sheetId="4" r:id="rId4"/>
    <sheet name="Supplementary table 3" sheetId="3" r:id="rId5"/>
    <sheet name="Supplementary table 4" sheetId="2" r:id="rId6"/>
    <sheet name="Supplementary table 5" sheetId="5" r:id="rId7"/>
    <sheet name="References" sheetId="8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7" i="4" l="1"/>
  <c r="H10" i="4"/>
  <c r="H9" i="4"/>
  <c r="H8" i="4"/>
  <c r="K9" i="3" l="1"/>
  <c r="J9" i="3"/>
  <c r="J8" i="3"/>
  <c r="J7" i="3"/>
  <c r="J6" i="3"/>
  <c r="L8" i="3"/>
  <c r="L9" i="3" s="1"/>
  <c r="L7" i="3"/>
  <c r="L6" i="3"/>
  <c r="K8" i="3"/>
  <c r="K7" i="3"/>
  <c r="K6" i="3"/>
  <c r="I9" i="3"/>
  <c r="F9" i="3"/>
  <c r="E7" i="2"/>
  <c r="B7" i="2"/>
  <c r="B9" i="3"/>
  <c r="Q9" i="5" l="1"/>
  <c r="J8" i="5"/>
  <c r="I8" i="5"/>
  <c r="E8" i="5"/>
  <c r="J7" i="5"/>
  <c r="J9" i="5" s="1"/>
  <c r="I7" i="5"/>
  <c r="E7" i="5"/>
  <c r="S9" i="5"/>
  <c r="R9" i="5"/>
  <c r="M9" i="5"/>
  <c r="L9" i="5"/>
  <c r="K9" i="5"/>
  <c r="H9" i="5"/>
  <c r="G9" i="5"/>
  <c r="F9" i="5"/>
  <c r="D9" i="5"/>
  <c r="C9" i="5"/>
  <c r="F8" i="1"/>
  <c r="F7" i="1"/>
  <c r="F6" i="1"/>
  <c r="F5" i="1"/>
  <c r="F4" i="1"/>
  <c r="E5" i="5"/>
  <c r="S6" i="5"/>
  <c r="R6" i="5"/>
  <c r="Q6" i="5"/>
  <c r="M6" i="5"/>
  <c r="L6" i="5"/>
  <c r="K6" i="5"/>
  <c r="H6" i="5"/>
  <c r="G6" i="5"/>
  <c r="F6" i="5"/>
  <c r="D6" i="5"/>
  <c r="J5" i="5"/>
  <c r="I5" i="5"/>
  <c r="J4" i="5"/>
  <c r="I4" i="5"/>
  <c r="I9" i="5" l="1"/>
  <c r="E9" i="5"/>
  <c r="E6" i="5"/>
  <c r="J6" i="5"/>
  <c r="I6" i="5"/>
  <c r="H9" i="3"/>
  <c r="G9" i="3"/>
  <c r="E9" i="3"/>
  <c r="D9" i="3"/>
  <c r="K8" i="1" l="1"/>
  <c r="K7" i="1"/>
  <c r="K6" i="1"/>
  <c r="K5" i="1"/>
  <c r="K4" i="1"/>
  <c r="J8" i="1"/>
  <c r="J7" i="1"/>
  <c r="J6" i="1"/>
  <c r="J5" i="1"/>
  <c r="J4" i="1"/>
  <c r="O9" i="1"/>
  <c r="E9" i="1"/>
  <c r="R9" i="1" l="1"/>
  <c r="S9" i="1"/>
  <c r="T9" i="1"/>
  <c r="Q9" i="1"/>
  <c r="G11" i="4" l="1"/>
  <c r="H11" i="4" s="1"/>
  <c r="N9" i="1" l="1"/>
  <c r="M9" i="1"/>
  <c r="I9" i="1"/>
  <c r="H9" i="1"/>
  <c r="G9" i="1"/>
  <c r="D9" i="1"/>
  <c r="C9" i="1"/>
  <c r="L9" i="1" l="1"/>
  <c r="F9" i="1"/>
  <c r="J9" i="1"/>
  <c r="K9" i="1"/>
  <c r="F11" i="4" l="1"/>
  <c r="C11" i="4" l="1"/>
  <c r="E11" i="4"/>
  <c r="C9" i="3" l="1"/>
  <c r="H5" i="2" l="1"/>
  <c r="H6" i="2"/>
  <c r="H4" i="2"/>
  <c r="H7" i="2" s="1"/>
  <c r="C6" i="2"/>
  <c r="F6" i="2" s="1"/>
  <c r="D5" i="2"/>
  <c r="G5" i="2" s="1"/>
  <c r="C4" i="2"/>
  <c r="F4" i="2" l="1"/>
  <c r="J5" i="2"/>
  <c r="D4" i="2"/>
  <c r="I6" i="2"/>
  <c r="D6" i="2"/>
  <c r="C5" i="2"/>
  <c r="I5" i="2" s="1"/>
  <c r="C7" i="2" l="1"/>
  <c r="G4" i="2"/>
  <c r="D7" i="2"/>
  <c r="F7" i="2"/>
  <c r="J4" i="2"/>
  <c r="Q5" i="2"/>
  <c r="R5" i="2" s="1"/>
  <c r="P5" i="2"/>
  <c r="I4" i="2"/>
  <c r="L6" i="2"/>
  <c r="M6" i="2" s="1"/>
  <c r="K6" i="2"/>
  <c r="G6" i="2"/>
  <c r="J6" i="2"/>
  <c r="F5" i="2"/>
  <c r="K4" i="2" l="1"/>
  <c r="I7" i="2"/>
  <c r="G7" i="2"/>
  <c r="P4" i="2"/>
  <c r="J7" i="2"/>
  <c r="Q4" i="2"/>
  <c r="S5" i="2"/>
  <c r="T5" i="2" s="1"/>
  <c r="N6" i="2"/>
  <c r="O6" i="2" s="1"/>
  <c r="L4" i="2"/>
  <c r="K5" i="2"/>
  <c r="L5" i="2"/>
  <c r="M5" i="2" s="1"/>
  <c r="Q6" i="2"/>
  <c r="R6" i="2" s="1"/>
  <c r="P6" i="2"/>
  <c r="K7" i="2" l="1"/>
  <c r="P7" i="2"/>
  <c r="R4" i="2"/>
  <c r="Q7" i="2"/>
  <c r="M4" i="2"/>
  <c r="M7" i="2" s="1"/>
  <c r="L7" i="2"/>
  <c r="S6" i="2"/>
  <c r="T6" i="2" s="1"/>
  <c r="N5" i="2"/>
  <c r="O5" i="2" s="1"/>
  <c r="N4" i="2"/>
  <c r="O4" i="2" l="1"/>
  <c r="N7" i="2"/>
  <c r="S4" i="2"/>
  <c r="R7" i="2"/>
  <c r="T4" i="2" l="1"/>
  <c r="S7" i="2"/>
  <c r="O7" i="2"/>
  <c r="T7" i="2" l="1"/>
</calcChain>
</file>

<file path=xl/sharedStrings.xml><?xml version="1.0" encoding="utf-8"?>
<sst xmlns="http://schemas.openxmlformats.org/spreadsheetml/2006/main" count="141" uniqueCount="89">
  <si>
    <t>Footprint #</t>
  </si>
  <si>
    <t>II^III</t>
  </si>
  <si>
    <t>III^IV</t>
  </si>
  <si>
    <t>Average</t>
  </si>
  <si>
    <t>Average FL</t>
  </si>
  <si>
    <t>stride</t>
  </si>
  <si>
    <t>h (allometric)</t>
  </si>
  <si>
    <t>h (morphometric)</t>
  </si>
  <si>
    <t>gait (stride/h)</t>
  </si>
  <si>
    <t>1 to 3</t>
  </si>
  <si>
    <t>2 to 4</t>
  </si>
  <si>
    <t>3 to 5</t>
  </si>
  <si>
    <t>allo</t>
  </si>
  <si>
    <t>morpho</t>
  </si>
  <si>
    <t>Allometric</t>
  </si>
  <si>
    <t>Stride</t>
  </si>
  <si>
    <t>Morphometric</t>
  </si>
  <si>
    <t>stride (m)</t>
  </si>
  <si>
    <t>h (m)</t>
  </si>
  <si>
    <t>gh</t>
  </si>
  <si>
    <t>1.8h</t>
  </si>
  <si>
    <t>(stride/1.8h)^2.56</t>
  </si>
  <si>
    <t>allo  a</t>
  </si>
  <si>
    <t>c=a*b</t>
  </si>
  <si>
    <t>c^0.5</t>
  </si>
  <si>
    <t>Footprint No.</t>
  </si>
  <si>
    <t>FL/FW ratio</t>
  </si>
  <si>
    <t>PP</t>
  </si>
  <si>
    <t>PS</t>
  </si>
  <si>
    <t>1 to 2</t>
  </si>
  <si>
    <t>2 to 3</t>
  </si>
  <si>
    <t>3 to 4</t>
  </si>
  <si>
    <t>4 to 5</t>
  </si>
  <si>
    <t>–</t>
  </si>
  <si>
    <t>LII</t>
  </si>
  <si>
    <t>LIII</t>
  </si>
  <si>
    <t>LIV</t>
  </si>
  <si>
    <t>ATL/FW ratio</t>
  </si>
  <si>
    <t>ATL</t>
  </si>
  <si>
    <t>ATW</t>
  </si>
  <si>
    <t>AT angle</t>
  </si>
  <si>
    <t>ATL/ATW ratio</t>
  </si>
  <si>
    <t>P ANG</t>
  </si>
  <si>
    <t>Steps</t>
  </si>
  <si>
    <t xml:space="preserve"> II^IV</t>
  </si>
  <si>
    <t>LI</t>
  </si>
  <si>
    <t>I^III</t>
  </si>
  <si>
    <t>Body length (BL)</t>
  </si>
  <si>
    <t>LES 283</t>
  </si>
  <si>
    <t>LES 288</t>
  </si>
  <si>
    <t>ParaGrallator matsiengensis (fig. 128)</t>
  </si>
  <si>
    <t>LES 111</t>
  </si>
  <si>
    <t>LES 112</t>
  </si>
  <si>
    <t>Grallator molapoi (not figured)</t>
  </si>
  <si>
    <t>10&lt;FL&lt;12</t>
  </si>
  <si>
    <t>Masitisisauropus palmipes</t>
  </si>
  <si>
    <t>Speed estimates from gait:</t>
  </si>
  <si>
    <t>gait of 2.0</t>
  </si>
  <si>
    <t xml:space="preserve"> 2.0 &lt; gait &lt; 2.9</t>
  </si>
  <si>
    <t>gait  &gt; 2.9</t>
  </si>
  <si>
    <t>~ walk</t>
  </si>
  <si>
    <t>~ trot</t>
  </si>
  <si>
    <t>~ run</t>
  </si>
  <si>
    <t>morpho a</t>
  </si>
  <si>
    <t>allo b</t>
  </si>
  <si>
    <t>allo speed</t>
  </si>
  <si>
    <t>morpho speed</t>
  </si>
  <si>
    <t>morpho b</t>
  </si>
  <si>
    <t>Gait</t>
  </si>
  <si>
    <t>Speed</t>
  </si>
  <si>
    <t>Body mass (BM)</t>
  </si>
  <si>
    <t>TW</t>
  </si>
  <si>
    <t>No. of toes</t>
  </si>
  <si>
    <t>FL</t>
  </si>
  <si>
    <t>FW</t>
  </si>
  <si>
    <t>FW'</t>
  </si>
  <si>
    <t>h</t>
  </si>
  <si>
    <t>TR</t>
  </si>
  <si>
    <r>
      <t>HOW TO CITE:</t>
    </r>
    <r>
      <rPr>
        <sz val="12"/>
        <color theme="1"/>
        <rFont val="Calibri"/>
        <family val="2"/>
        <scheme val="minor"/>
      </rPr>
      <t xml:space="preserve"> </t>
    </r>
  </si>
  <si>
    <t>Bordy EM. Darting towards Storm Shelter: A minute dinosaur trackway from southern Africa [supplementary material]. S Afr J Sci. 2021;117(5/6), Art. #9145.</t>
  </si>
  <si>
    <t xml:space="preserve">https://doi.org/10.17159/sajs.2021/9145/suppl </t>
  </si>
  <si>
    <r>
      <rPr>
        <b/>
        <sz val="11"/>
        <rFont val="Calibri"/>
        <family val="2"/>
        <scheme val="minor"/>
      </rPr>
      <t>SUPPLEMENTARY MATERIAL TO:</t>
    </r>
    <r>
      <rPr>
        <sz val="11"/>
        <color theme="10"/>
        <rFont val="Calibri"/>
        <family val="2"/>
        <scheme val="minor"/>
      </rPr>
      <t xml:space="preserve"> </t>
    </r>
    <r>
      <rPr>
        <u/>
        <sz val="11"/>
        <color theme="10"/>
        <rFont val="Calibri"/>
        <family val="2"/>
        <scheme val="minor"/>
      </rPr>
      <t xml:space="preserve">Bordy EM. S Afr J Sci. 2021;117(5/6), Art. #9145. </t>
    </r>
  </si>
  <si>
    <r>
      <t>Supplementary figure 1</t>
    </r>
    <r>
      <rPr>
        <sz val="11"/>
        <color theme="1"/>
        <rFont val="Calibri"/>
        <family val="2"/>
        <scheme val="minor"/>
      </rPr>
      <t xml:space="preserve">: Sedimentological details of the very fine to fine-grained sandstones in the lower Clarens Formation near Storm Shelter. </t>
    </r>
    <r>
      <rPr>
        <b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 xml:space="preserve">. Overview of the horizontally bedded, sandstone-dominated lowermost Clarens Formation at Storm Shelter. Background shows the stratigraphic units in the valley: upper Elliot Formation (grassy slopes) and Clarens Formation (white cliffs). </t>
    </r>
    <r>
      <rPr>
        <b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 xml:space="preserve">. Sedimentary structures in the sheet-like very fine to fine-grained sandstones immediately below the tracking surface. </t>
    </r>
    <r>
      <rPr>
        <b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 xml:space="preserve">. Sedimentary structures on the tracking surface. </t>
    </r>
    <r>
      <rPr>
        <b/>
        <sz val="11"/>
        <color theme="1"/>
        <rFont val="Calibri"/>
        <family val="2"/>
        <scheme val="minor"/>
      </rPr>
      <t>D.</t>
    </r>
    <r>
      <rPr>
        <sz val="11"/>
        <color theme="1"/>
        <rFont val="Calibri"/>
        <family val="2"/>
        <scheme val="minor"/>
      </rPr>
      <t xml:space="preserve"> Typical succession of sedimentary structures in the sheet-like sandstones of the lower Clarens Formation near Storm Shelter. </t>
    </r>
    <r>
      <rPr>
        <b/>
        <sz val="11"/>
        <color theme="1"/>
        <rFont val="Calibri"/>
        <family val="2"/>
        <scheme val="minor"/>
      </rPr>
      <t xml:space="preserve">E. </t>
    </r>
    <r>
      <rPr>
        <sz val="11"/>
        <color theme="1"/>
        <rFont val="Calibri"/>
        <family val="2"/>
        <scheme val="minor"/>
      </rPr>
      <t xml:space="preserve">Lower bedding plane with casts of large-scale desiccation cracks. </t>
    </r>
    <r>
      <rPr>
        <b/>
        <sz val="11"/>
        <color theme="1"/>
        <rFont val="Calibri"/>
        <family val="2"/>
        <scheme val="minor"/>
      </rPr>
      <t xml:space="preserve">F. </t>
    </r>
    <r>
      <rPr>
        <sz val="11"/>
        <color theme="1"/>
        <rFont val="Calibri"/>
        <family val="2"/>
        <scheme val="minor"/>
      </rPr>
      <t>Upper bedding plane with worn-way, large-scale desiccation cracks.</t>
    </r>
  </si>
  <si>
    <t>Thulborn T. Dinosaur tracks. London: Chapman and Hall; 1990.</t>
  </si>
  <si>
    <t>Weems RE. Locomotor speeds and patterns of running behavior in non-maniraptoriform theropod dinosaurs. New Mexico Museum of Natural History and Science Bulletin. 2006;37:379–389.</t>
  </si>
  <si>
    <t xml:space="preserve">Ellenberger P. Les niveaux paléontologiques de première apparition des mammifères primordiaux en Afrique du Sud et leur ichnologie: établissement de zones stratigraphiques détaillées dans le Stormberg du Lesotho (Afrique du Sud) (Trias supérieur à Jurassique) [The palaeontological levels of first appearance of primordial mammals in South Africa and their ichnology: Establishment of detailed stratigraphic zones in the Stormberg of Lesotho (South Africa) (Upper Triassic to Jurassic)]. In: Haughton SH, editor. Proceedings of the 2nd IUGS Symposium on Gondwana Stratigraphy and Palaeontology. Pretoria: Council for Scientific and Industrial Research; 1970. p. 343–370. French. </t>
  </si>
  <si>
    <t>Ellenberger P. Contribution à la classification des pistes de vertébrés du Trias: les types du Stormberg d'Afrique du Sud (II) (Hème partie: le Stormberg Superieur — I. Le biome de la zone B/1 ou niveau de Moyeni: ses biocénoses) [Contribution to the classification of the tracks of Triassic vertebrates: The types of the Stormberg of South Africa (II) (Hème part: the Stormberg Superior - I. The biome of zone B / 1 or level of Moyeni: its biocenoses). Montpellier: Palaeovertebrata, Mémoire Extraordinaire; 1974. French.</t>
  </si>
  <si>
    <r>
      <t>Ichnotaxonomic name by Ellenberger</t>
    </r>
    <r>
      <rPr>
        <vertAlign val="superscript"/>
        <sz val="11"/>
        <color theme="1"/>
        <rFont val="Calibri"/>
        <family val="2"/>
        <scheme val="minor"/>
      </rPr>
      <t>3,4</t>
    </r>
  </si>
  <si>
    <r>
      <t>Thulborn</t>
    </r>
    <r>
      <rPr>
        <vertAlign val="superscript"/>
        <sz val="11"/>
        <color rgb="FFFF0000"/>
        <rFont val="Calibri"/>
        <family val="2"/>
        <scheme val="minor"/>
      </rPr>
      <t>1(p.291)</t>
    </r>
    <r>
      <rPr>
        <sz val="11"/>
        <color rgb="FFFF0000"/>
        <rFont val="Calibri"/>
        <family val="2"/>
        <scheme val="minor"/>
      </rPr>
      <t xml:space="preserve"> equation 10.4 applies for running velocity estimate (metres per second):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</si>
</sst>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000000"/>
      <name val="Arial"/>
      <family val="2"/>
    </font>
    <font>
      <b/>
      <sz val="10"/>
      <color rgb="FF00B0F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rgb="FF00B0F0"/>
      <name val="Calibri"/>
      <family val="2"/>
      <scheme val="minor"/>
    </font>
    <font>
      <sz val="11"/>
      <color theme="1"/>
      <name val="Arial"/>
      <family val="2"/>
    </font>
    <font>
      <sz val="11"/>
      <color rgb="FF222222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222222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vertAlign val="superscript"/>
      <sz val="11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rgb="FFCC99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12" fillId="7" borderId="0" applyNumberFormat="0" applyBorder="0" applyAlignment="0" applyProtection="0"/>
    <xf numFmtId="0" fontId="20" fillId="0" borderId="0" applyNumberFormat="0" applyFill="0" applyBorder="0" applyAlignment="0" applyProtection="0"/>
  </cellStyleXfs>
  <cellXfs count="208">
    <xf numFmtId="0" fontId="0" fillId="0" borderId="0" xfId="0"/>
    <xf numFmtId="0" fontId="0" fillId="3" borderId="0" xfId="0" applyFill="1"/>
    <xf numFmtId="164" fontId="0" fillId="3" borderId="4" xfId="0" applyNumberFormat="1" applyFill="1" applyBorder="1" applyAlignment="1">
      <alignment horizontal="center"/>
    </xf>
    <xf numFmtId="16" fontId="0" fillId="0" borderId="0" xfId="0" applyNumberFormat="1"/>
    <xf numFmtId="0" fontId="2" fillId="3" borderId="1" xfId="0" applyFont="1" applyFill="1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3" borderId="0" xfId="0" applyFill="1" applyBorder="1"/>
    <xf numFmtId="0" fontId="10" fillId="6" borderId="4" xfId="0" applyFont="1" applyFill="1" applyBorder="1" applyAlignment="1">
      <alignment horizontal="center" vertical="center" wrapText="1"/>
    </xf>
    <xf numFmtId="2" fontId="7" fillId="0" borderId="2" xfId="0" applyNumberFormat="1" applyFont="1" applyBorder="1" applyAlignment="1">
      <alignment horizontal="center" vertical="center" wrapText="1"/>
    </xf>
    <xf numFmtId="164" fontId="7" fillId="0" borderId="2" xfId="0" applyNumberFormat="1" applyFont="1" applyBorder="1" applyAlignment="1">
      <alignment horizontal="center" vertical="center" wrapText="1"/>
    </xf>
    <xf numFmtId="0" fontId="1" fillId="0" borderId="2" xfId="0" applyFont="1" applyBorder="1"/>
    <xf numFmtId="0" fontId="8" fillId="0" borderId="2" xfId="0" applyFont="1" applyBorder="1"/>
    <xf numFmtId="0" fontId="0" fillId="0" borderId="7" xfId="0" applyBorder="1" applyAlignment="1">
      <alignment horizontal="center"/>
    </xf>
    <xf numFmtId="0" fontId="9" fillId="2" borderId="6" xfId="0" applyFont="1" applyFill="1" applyBorder="1" applyAlignment="1">
      <alignment horizontal="center" vertical="center" wrapText="1"/>
    </xf>
    <xf numFmtId="0" fontId="9" fillId="2" borderId="22" xfId="0" applyFont="1" applyFill="1" applyBorder="1" applyAlignment="1">
      <alignment horizontal="center" vertical="center" wrapText="1"/>
    </xf>
    <xf numFmtId="164" fontId="0" fillId="3" borderId="16" xfId="0" applyNumberFormat="1" applyFill="1" applyBorder="1" applyAlignment="1">
      <alignment horizontal="center"/>
    </xf>
    <xf numFmtId="0" fontId="14" fillId="0" borderId="7" xfId="0" applyFont="1" applyBorder="1" applyAlignment="1">
      <alignment horizontal="center" vertical="center" wrapText="1"/>
    </xf>
    <xf numFmtId="1" fontId="0" fillId="3" borderId="4" xfId="0" applyNumberFormat="1" applyFill="1" applyBorder="1" applyAlignment="1">
      <alignment horizontal="center"/>
    </xf>
    <xf numFmtId="0" fontId="9" fillId="2" borderId="1" xfId="0" applyFont="1" applyFill="1" applyBorder="1" applyAlignment="1">
      <alignment horizontal="center" vertical="center" wrapText="1"/>
    </xf>
    <xf numFmtId="0" fontId="0" fillId="0" borderId="9" xfId="0" applyBorder="1"/>
    <xf numFmtId="1" fontId="7" fillId="0" borderId="2" xfId="0" applyNumberFormat="1" applyFont="1" applyBorder="1" applyAlignment="1">
      <alignment horizontal="center" vertical="center" wrapText="1"/>
    </xf>
    <xf numFmtId="0" fontId="15" fillId="0" borderId="0" xfId="0" applyFont="1"/>
    <xf numFmtId="0" fontId="2" fillId="0" borderId="1" xfId="0" applyFont="1" applyBorder="1" applyAlignment="1">
      <alignment horizontal="center" vertical="center"/>
    </xf>
    <xf numFmtId="2" fontId="7" fillId="0" borderId="1" xfId="0" applyNumberFormat="1" applyFont="1" applyBorder="1" applyAlignment="1">
      <alignment horizontal="center" vertical="center" wrapText="1"/>
    </xf>
    <xf numFmtId="2" fontId="7" fillId="0" borderId="3" xfId="0" applyNumberFormat="1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 wrapText="1"/>
    </xf>
    <xf numFmtId="164" fontId="7" fillId="0" borderId="15" xfId="0" applyNumberFormat="1" applyFont="1" applyBorder="1" applyAlignment="1">
      <alignment horizontal="center" vertical="center" wrapText="1"/>
    </xf>
    <xf numFmtId="0" fontId="0" fillId="0" borderId="15" xfId="1" applyFont="1" applyFill="1" applyBorder="1" applyAlignment="1">
      <alignment horizontal="center" vertical="center" wrapText="1"/>
    </xf>
    <xf numFmtId="0" fontId="0" fillId="0" borderId="0" xfId="0" applyFill="1"/>
    <xf numFmtId="0" fontId="8" fillId="3" borderId="15" xfId="0" applyFont="1" applyFill="1" applyBorder="1" applyAlignment="1">
      <alignment horizontal="center"/>
    </xf>
    <xf numFmtId="164" fontId="0" fillId="0" borderId="9" xfId="0" applyNumberFormat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164" fontId="0" fillId="0" borderId="10" xfId="0" applyNumberFormat="1" applyBorder="1" applyAlignment="1">
      <alignment horizontal="center"/>
    </xf>
    <xf numFmtId="0" fontId="4" fillId="0" borderId="0" xfId="0" applyFont="1" applyFill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6" fillId="2" borderId="18" xfId="0" applyFont="1" applyFill="1" applyBorder="1" applyAlignment="1">
      <alignment horizontal="center" vertical="center"/>
    </xf>
    <xf numFmtId="0" fontId="5" fillId="2" borderId="19" xfId="0" applyFont="1" applyFill="1" applyBorder="1" applyAlignment="1">
      <alignment horizontal="center" vertical="center"/>
    </xf>
    <xf numFmtId="0" fontId="5" fillId="2" borderId="20" xfId="0" applyFont="1" applyFill="1" applyBorder="1" applyAlignment="1">
      <alignment horizontal="center" vertical="center"/>
    </xf>
    <xf numFmtId="0" fontId="16" fillId="0" borderId="0" xfId="0" applyFont="1" applyAlignment="1">
      <alignment horizontal="right"/>
    </xf>
    <xf numFmtId="0" fontId="1" fillId="0" borderId="1" xfId="0" applyFont="1" applyBorder="1"/>
    <xf numFmtId="0" fontId="0" fillId="0" borderId="23" xfId="0" applyBorder="1"/>
    <xf numFmtId="0" fontId="13" fillId="9" borderId="2" xfId="0" applyFont="1" applyFill="1" applyBorder="1" applyAlignment="1">
      <alignment horizontal="center" vertical="center" wrapText="1"/>
    </xf>
    <xf numFmtId="0" fontId="13" fillId="9" borderId="3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6" borderId="6" xfId="0" applyFont="1" applyFill="1" applyBorder="1" applyAlignment="1">
      <alignment horizontal="center" vertical="center" wrapText="1"/>
    </xf>
    <xf numFmtId="0" fontId="10" fillId="6" borderId="6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 wrapText="1"/>
    </xf>
    <xf numFmtId="164" fontId="0" fillId="3" borderId="2" xfId="0" applyNumberFormat="1" applyFill="1" applyBorder="1" applyAlignment="1">
      <alignment horizontal="center"/>
    </xf>
    <xf numFmtId="1" fontId="0" fillId="3" borderId="2" xfId="0" applyNumberFormat="1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2" fillId="0" borderId="25" xfId="0" applyFont="1" applyBorder="1"/>
    <xf numFmtId="0" fontId="2" fillId="0" borderId="26" xfId="0" applyFont="1" applyBorder="1"/>
    <xf numFmtId="0" fontId="0" fillId="10" borderId="26" xfId="0" applyFill="1" applyBorder="1"/>
    <xf numFmtId="0" fontId="0" fillId="10" borderId="15" xfId="0" applyFill="1" applyBorder="1"/>
    <xf numFmtId="164" fontId="0" fillId="0" borderId="7" xfId="0" applyNumberFormat="1" applyBorder="1" applyAlignment="1">
      <alignment horizontal="center"/>
    </xf>
    <xf numFmtId="1" fontId="0" fillId="10" borderId="7" xfId="0" applyNumberFormat="1" applyFill="1" applyBorder="1" applyAlignment="1">
      <alignment horizontal="center"/>
    </xf>
    <xf numFmtId="2" fontId="0" fillId="10" borderId="7" xfId="0" applyNumberFormat="1" applyFill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1" fontId="0" fillId="10" borderId="0" xfId="0" applyNumberFormat="1" applyFill="1" applyBorder="1" applyAlignment="1">
      <alignment horizontal="center"/>
    </xf>
    <xf numFmtId="2" fontId="0" fillId="10" borderId="0" xfId="0" applyNumberFormat="1" applyFill="1" applyBorder="1" applyAlignment="1">
      <alignment horizontal="center"/>
    </xf>
    <xf numFmtId="1" fontId="0" fillId="10" borderId="2" xfId="0" applyNumberFormat="1" applyFill="1" applyBorder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Fill="1" applyBorder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7" xfId="0" applyBorder="1" applyAlignment="1">
      <alignment horizontal="center" vertical="center"/>
    </xf>
    <xf numFmtId="164" fontId="0" fillId="0" borderId="0" xfId="0" applyNumberFormat="1" applyBorder="1" applyAlignment="1">
      <alignment horizontal="center" vertical="center"/>
    </xf>
    <xf numFmtId="164" fontId="0" fillId="3" borderId="2" xfId="0" applyNumberFormat="1" applyFill="1" applyBorder="1" applyAlignment="1">
      <alignment horizontal="center" vertical="center"/>
    </xf>
    <xf numFmtId="0" fontId="0" fillId="11" borderId="15" xfId="0" applyFont="1" applyFill="1" applyBorder="1" applyAlignment="1">
      <alignment horizontal="center" vertical="center" wrapText="1"/>
    </xf>
    <xf numFmtId="2" fontId="0" fillId="0" borderId="0" xfId="0" applyNumberFormat="1" applyBorder="1" applyAlignment="1">
      <alignment horizontal="center"/>
    </xf>
    <xf numFmtId="2" fontId="0" fillId="0" borderId="10" xfId="0" applyNumberFormat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14" fillId="0" borderId="1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/>
    </xf>
    <xf numFmtId="0" fontId="0" fillId="0" borderId="5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0" fillId="0" borderId="5" xfId="0" applyBorder="1"/>
    <xf numFmtId="0" fontId="0" fillId="4" borderId="0" xfId="0" applyFill="1" applyAlignment="1">
      <alignment horizontal="right"/>
    </xf>
    <xf numFmtId="0" fontId="0" fillId="8" borderId="0" xfId="0" applyFill="1" applyAlignment="1">
      <alignment horizontal="right"/>
    </xf>
    <xf numFmtId="0" fontId="0" fillId="8" borderId="0" xfId="0" quotePrefix="1" applyFill="1" applyAlignment="1">
      <alignment horizontal="right"/>
    </xf>
    <xf numFmtId="0" fontId="0" fillId="5" borderId="0" xfId="0" applyFill="1" applyAlignment="1">
      <alignment horizontal="right"/>
    </xf>
    <xf numFmtId="2" fontId="0" fillId="0" borderId="0" xfId="0" applyNumberFormat="1"/>
    <xf numFmtId="0" fontId="15" fillId="0" borderId="0" xfId="0" applyFont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2" fontId="0" fillId="0" borderId="9" xfId="0" applyNumberFormat="1" applyBorder="1" applyAlignment="1">
      <alignment horizontal="center"/>
    </xf>
    <xf numFmtId="2" fontId="8" fillId="3" borderId="15" xfId="0" applyNumberFormat="1" applyFont="1" applyFill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2" fontId="0" fillId="0" borderId="7" xfId="0" applyNumberFormat="1" applyBorder="1" applyAlignment="1">
      <alignment horizontal="center"/>
    </xf>
    <xf numFmtId="2" fontId="0" fillId="0" borderId="8" xfId="0" applyNumberFormat="1" applyBorder="1" applyAlignment="1">
      <alignment horizontal="center"/>
    </xf>
    <xf numFmtId="2" fontId="0" fillId="0" borderId="11" xfId="0" applyNumberFormat="1" applyBorder="1" applyAlignment="1">
      <alignment horizontal="center"/>
    </xf>
    <xf numFmtId="2" fontId="0" fillId="0" borderId="24" xfId="0" applyNumberFormat="1" applyBorder="1" applyAlignment="1">
      <alignment horizontal="center"/>
    </xf>
    <xf numFmtId="0" fontId="1" fillId="0" borderId="1" xfId="0" applyFont="1" applyBorder="1" applyAlignment="1">
      <alignment horizontal="center"/>
    </xf>
    <xf numFmtId="2" fontId="0" fillId="0" borderId="23" xfId="0" applyNumberFormat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1" fillId="0" borderId="2" xfId="0" applyFont="1" applyFill="1" applyBorder="1" applyAlignment="1">
      <alignment horizontal="center" vertical="center"/>
    </xf>
    <xf numFmtId="2" fontId="0" fillId="0" borderId="7" xfId="0" applyNumberFormat="1" applyFill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2" fontId="0" fillId="0" borderId="11" xfId="0" applyNumberFormat="1" applyFill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64" fontId="0" fillId="5" borderId="5" xfId="0" applyNumberFormat="1" applyFill="1" applyBorder="1" applyAlignment="1">
      <alignment horizontal="center"/>
    </xf>
    <xf numFmtId="164" fontId="0" fillId="5" borderId="9" xfId="0" applyNumberFormat="1" applyFill="1" applyBorder="1" applyAlignment="1">
      <alignment horizontal="center"/>
    </xf>
    <xf numFmtId="164" fontId="0" fillId="5" borderId="23" xfId="0" applyNumberForma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8" xfId="0" applyBorder="1" applyAlignment="1">
      <alignment horizontal="center"/>
    </xf>
    <xf numFmtId="2" fontId="0" fillId="0" borderId="5" xfId="0" applyNumberFormat="1" applyBorder="1" applyAlignment="1">
      <alignment horizontal="center"/>
    </xf>
    <xf numFmtId="164" fontId="0" fillId="5" borderId="8" xfId="0" applyNumberFormat="1" applyFill="1" applyBorder="1" applyAlignment="1">
      <alignment horizontal="center"/>
    </xf>
    <xf numFmtId="164" fontId="0" fillId="5" borderId="10" xfId="0" applyNumberFormat="1" applyFill="1" applyBorder="1" applyAlignment="1">
      <alignment horizontal="center"/>
    </xf>
    <xf numFmtId="164" fontId="0" fillId="8" borderId="24" xfId="0" applyNumberForma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2" fontId="0" fillId="0" borderId="5" xfId="0" applyNumberFormat="1" applyFill="1" applyBorder="1" applyAlignment="1">
      <alignment horizontal="center" vertical="center"/>
    </xf>
    <xf numFmtId="2" fontId="0" fillId="0" borderId="9" xfId="0" applyNumberFormat="1" applyFill="1" applyBorder="1" applyAlignment="1">
      <alignment horizontal="center" vertical="center"/>
    </xf>
    <xf numFmtId="2" fontId="0" fillId="0" borderId="23" xfId="0" applyNumberFormat="1" applyFill="1" applyBorder="1" applyAlignment="1">
      <alignment horizontal="center" vertical="center"/>
    </xf>
    <xf numFmtId="2" fontId="0" fillId="0" borderId="11" xfId="0" applyNumberFormat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/>
    </xf>
    <xf numFmtId="2" fontId="1" fillId="9" borderId="27" xfId="0" applyNumberFormat="1" applyFont="1" applyFill="1" applyBorder="1" applyAlignment="1">
      <alignment horizontal="center" vertical="center"/>
    </xf>
    <xf numFmtId="2" fontId="1" fillId="9" borderId="25" xfId="0" applyNumberFormat="1" applyFont="1" applyFill="1" applyBorder="1" applyAlignment="1">
      <alignment horizontal="center" vertical="center"/>
    </xf>
    <xf numFmtId="2" fontId="1" fillId="9" borderId="26" xfId="0" applyNumberFormat="1" applyFont="1" applyFill="1" applyBorder="1" applyAlignment="1">
      <alignment horizontal="center" vertical="center"/>
    </xf>
    <xf numFmtId="2" fontId="0" fillId="0" borderId="7" xfId="0" applyNumberForma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2" fontId="1" fillId="12" borderId="1" xfId="0" applyNumberFormat="1" applyFont="1" applyFill="1" applyBorder="1" applyAlignment="1">
      <alignment horizontal="center"/>
    </xf>
    <xf numFmtId="2" fontId="1" fillId="12" borderId="3" xfId="0" applyNumberFormat="1" applyFont="1" applyFill="1" applyBorder="1" applyAlignment="1">
      <alignment horizontal="center"/>
    </xf>
    <xf numFmtId="164" fontId="1" fillId="12" borderId="1" xfId="0" applyNumberFormat="1" applyFont="1" applyFill="1" applyBorder="1" applyAlignment="1">
      <alignment horizontal="center"/>
    </xf>
    <xf numFmtId="164" fontId="1" fillId="12" borderId="2" xfId="0" applyNumberFormat="1" applyFont="1" applyFill="1" applyBorder="1" applyAlignment="1">
      <alignment horizontal="center"/>
    </xf>
    <xf numFmtId="0" fontId="17" fillId="0" borderId="7" xfId="0" applyFont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164" fontId="0" fillId="5" borderId="1" xfId="0" applyNumberFormat="1" applyFill="1" applyBorder="1" applyAlignment="1">
      <alignment horizontal="center"/>
    </xf>
    <xf numFmtId="164" fontId="0" fillId="5" borderId="3" xfId="0" applyNumberFormat="1" applyFill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2" fontId="0" fillId="0" borderId="2" xfId="0" applyNumberFormat="1" applyBorder="1" applyAlignment="1">
      <alignment horizontal="center"/>
    </xf>
    <xf numFmtId="2" fontId="0" fillId="0" borderId="3" xfId="0" applyNumberFormat="1" applyBorder="1" applyAlignment="1">
      <alignment horizontal="center"/>
    </xf>
    <xf numFmtId="2" fontId="0" fillId="0" borderId="1" xfId="0" applyNumberFormat="1" applyBorder="1" applyAlignment="1">
      <alignment horizontal="center" vertical="center"/>
    </xf>
    <xf numFmtId="2" fontId="1" fillId="9" borderId="15" xfId="0" applyNumberFormat="1" applyFont="1" applyFill="1" applyBorder="1" applyAlignment="1">
      <alignment horizontal="center" vertical="center"/>
    </xf>
    <xf numFmtId="0" fontId="1" fillId="0" borderId="27" xfId="0" applyFont="1" applyFill="1" applyBorder="1" applyAlignment="1">
      <alignment horizontal="center"/>
    </xf>
    <xf numFmtId="1" fontId="0" fillId="0" borderId="25" xfId="0" applyNumberFormat="1" applyBorder="1" applyAlignment="1">
      <alignment horizontal="center" vertical="center"/>
    </xf>
    <xf numFmtId="164" fontId="1" fillId="12" borderId="3" xfId="0" applyNumberFormat="1" applyFont="1" applyFill="1" applyBorder="1" applyAlignment="1">
      <alignment horizontal="center"/>
    </xf>
    <xf numFmtId="0" fontId="0" fillId="9" borderId="1" xfId="0" applyFill="1" applyBorder="1" applyAlignment="1">
      <alignment horizontal="center" vertical="center"/>
    </xf>
    <xf numFmtId="0" fontId="0" fillId="9" borderId="15" xfId="0" applyFill="1" applyBorder="1" applyAlignment="1">
      <alignment horizontal="center" vertical="center"/>
    </xf>
    <xf numFmtId="2" fontId="0" fillId="0" borderId="25" xfId="0" applyNumberFormat="1" applyBorder="1" applyAlignment="1">
      <alignment horizontal="center" vertical="center"/>
    </xf>
    <xf numFmtId="2" fontId="1" fillId="12" borderId="2" xfId="0" applyNumberFormat="1" applyFont="1" applyFill="1" applyBorder="1" applyAlignment="1">
      <alignment horizontal="center" vertical="center"/>
    </xf>
    <xf numFmtId="2" fontId="1" fillId="12" borderId="15" xfId="0" applyNumberFormat="1" applyFont="1" applyFill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0" fontId="15" fillId="0" borderId="25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 wrapText="1"/>
    </xf>
    <xf numFmtId="0" fontId="0" fillId="0" borderId="25" xfId="0" applyFont="1" applyBorder="1" applyAlignment="1">
      <alignment horizontal="center" vertical="center"/>
    </xf>
    <xf numFmtId="0" fontId="9" fillId="12" borderId="16" xfId="0" applyFont="1" applyFill="1" applyBorder="1" applyAlignment="1">
      <alignment horizontal="center" vertical="center" wrapText="1"/>
    </xf>
    <xf numFmtId="0" fontId="9" fillId="12" borderId="4" xfId="0" applyFont="1" applyFill="1" applyBorder="1" applyAlignment="1">
      <alignment horizontal="center" vertical="center" wrapText="1"/>
    </xf>
    <xf numFmtId="0" fontId="9" fillId="13" borderId="4" xfId="0" applyFont="1" applyFill="1" applyBorder="1" applyAlignment="1">
      <alignment horizontal="center" vertical="center" wrapText="1"/>
    </xf>
    <xf numFmtId="0" fontId="9" fillId="13" borderId="21" xfId="0" applyFont="1" applyFill="1" applyBorder="1" applyAlignment="1">
      <alignment horizontal="center" vertical="center" wrapText="1"/>
    </xf>
    <xf numFmtId="1" fontId="0" fillId="0" borderId="9" xfId="0" applyNumberFormat="1" applyBorder="1" applyAlignment="1">
      <alignment horizontal="center"/>
    </xf>
    <xf numFmtId="1" fontId="0" fillId="3" borderId="16" xfId="0" applyNumberFormat="1" applyFill="1" applyBorder="1" applyAlignment="1">
      <alignment horizontal="center"/>
    </xf>
    <xf numFmtId="0" fontId="11" fillId="6" borderId="16" xfId="0" applyFont="1" applyFill="1" applyBorder="1" applyAlignment="1">
      <alignment horizontal="center" vertical="center" wrapText="1"/>
    </xf>
    <xf numFmtId="0" fontId="10" fillId="6" borderId="21" xfId="0" applyFont="1" applyFill="1" applyBorder="1" applyAlignment="1">
      <alignment horizontal="center" vertical="center" wrapText="1"/>
    </xf>
    <xf numFmtId="164" fontId="0" fillId="3" borderId="21" xfId="0" applyNumberFormat="1" applyFill="1" applyBorder="1" applyAlignment="1">
      <alignment horizontal="center"/>
    </xf>
    <xf numFmtId="0" fontId="9" fillId="12" borderId="21" xfId="0" applyFont="1" applyFill="1" applyBorder="1" applyAlignment="1">
      <alignment horizontal="center" vertical="center" wrapText="1"/>
    </xf>
    <xf numFmtId="0" fontId="9" fillId="13" borderId="17" xfId="0" applyFont="1" applyFill="1" applyBorder="1" applyAlignment="1">
      <alignment horizontal="center" vertical="center" wrapText="1"/>
    </xf>
    <xf numFmtId="0" fontId="9" fillId="13" borderId="14" xfId="0" applyFont="1" applyFill="1" applyBorder="1" applyAlignment="1">
      <alignment horizontal="center" vertical="center" wrapText="1"/>
    </xf>
    <xf numFmtId="0" fontId="14" fillId="0" borderId="15" xfId="0" applyFont="1" applyFill="1" applyBorder="1" applyAlignment="1">
      <alignment horizontal="center" vertical="center" wrapText="1"/>
    </xf>
    <xf numFmtId="0" fontId="0" fillId="0" borderId="25" xfId="0" applyBorder="1" applyAlignment="1">
      <alignment horizontal="center"/>
    </xf>
    <xf numFmtId="1" fontId="0" fillId="3" borderId="17" xfId="0" applyNumberFormat="1" applyFill="1" applyBorder="1" applyAlignment="1">
      <alignment horizontal="center"/>
    </xf>
    <xf numFmtId="1" fontId="0" fillId="3" borderId="14" xfId="0" applyNumberFormat="1" applyFill="1" applyBorder="1" applyAlignment="1">
      <alignment horizontal="center"/>
    </xf>
    <xf numFmtId="1" fontId="7" fillId="0" borderId="15" xfId="0" applyNumberFormat="1" applyFont="1" applyBorder="1" applyAlignment="1">
      <alignment horizontal="center" vertical="center" wrapText="1"/>
    </xf>
    <xf numFmtId="164" fontId="7" fillId="0" borderId="17" xfId="0" applyNumberFormat="1" applyFont="1" applyBorder="1" applyAlignment="1">
      <alignment horizontal="center" vertical="center" wrapText="1"/>
    </xf>
    <xf numFmtId="164" fontId="7" fillId="0" borderId="4" xfId="0" applyNumberFormat="1" applyFont="1" applyBorder="1" applyAlignment="1">
      <alignment horizontal="center" vertical="center" wrapText="1"/>
    </xf>
    <xf numFmtId="164" fontId="7" fillId="0" borderId="21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0" fontId="0" fillId="0" borderId="25" xfId="0" applyBorder="1" applyAlignment="1">
      <alignment horizontal="center" vertical="center"/>
    </xf>
    <xf numFmtId="0" fontId="13" fillId="0" borderId="15" xfId="0" applyFont="1" applyFill="1" applyBorder="1" applyAlignment="1">
      <alignment horizontal="center" vertical="center" wrapText="1"/>
    </xf>
    <xf numFmtId="1" fontId="0" fillId="0" borderId="15" xfId="0" applyNumberFormat="1" applyBorder="1" applyAlignment="1">
      <alignment horizontal="center" vertical="center"/>
    </xf>
    <xf numFmtId="0" fontId="5" fillId="0" borderId="0" xfId="0" applyFont="1"/>
    <xf numFmtId="0" fontId="20" fillId="0" borderId="0" xfId="2"/>
    <xf numFmtId="0" fontId="13" fillId="0" borderId="0" xfId="0" applyFont="1"/>
    <xf numFmtId="0" fontId="1" fillId="0" borderId="0" xfId="0" applyFont="1" applyAlignment="1">
      <alignment wrapText="1"/>
    </xf>
    <xf numFmtId="0" fontId="23" fillId="0" borderId="0" xfId="0" applyFont="1"/>
    <xf numFmtId="0" fontId="7" fillId="0" borderId="0" xfId="0" applyFont="1"/>
    <xf numFmtId="0" fontId="1" fillId="0" borderId="0" xfId="0" applyFont="1" applyBorder="1"/>
    <xf numFmtId="0" fontId="1" fillId="0" borderId="15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1" fillId="2" borderId="3" xfId="0" applyFont="1" applyFill="1" applyBorder="1" applyAlignment="1">
      <alignment horizontal="center" wrapText="1"/>
    </xf>
    <xf numFmtId="0" fontId="1" fillId="2" borderId="27" xfId="0" applyFont="1" applyFill="1" applyBorder="1" applyAlignment="1">
      <alignment horizontal="center" wrapText="1"/>
    </xf>
    <xf numFmtId="0" fontId="1" fillId="2" borderId="26" xfId="0" applyFont="1" applyFill="1" applyBorder="1" applyAlignment="1">
      <alignment horizontal="center" wrapText="1"/>
    </xf>
    <xf numFmtId="0" fontId="3" fillId="2" borderId="5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5" fillId="2" borderId="27" xfId="0" applyFont="1" applyFill="1" applyBorder="1" applyAlignment="1">
      <alignment horizontal="center" vertical="center"/>
    </xf>
    <xf numFmtId="0" fontId="5" fillId="2" borderId="26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5" fillId="2" borderId="22" xfId="0" applyFont="1" applyFill="1" applyBorder="1" applyAlignment="1">
      <alignment horizontal="center" vertical="center"/>
    </xf>
    <xf numFmtId="0" fontId="5" fillId="2" borderId="28" xfId="0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 vertical="center" wrapText="1"/>
    </xf>
    <xf numFmtId="0" fontId="0" fillId="0" borderId="11" xfId="0" applyFill="1" applyBorder="1" applyAlignment="1">
      <alignment horizontal="center" wrapText="1"/>
    </xf>
  </cellXfs>
  <cellStyles count="3">
    <cellStyle name="20% - Accent5" xfId="1" builtinId="46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16510</xdr:colOff>
      <xdr:row>31</xdr:row>
      <xdr:rowOff>108585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BBC69A-8C72-4DDB-B524-A05B73E22C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731510" cy="60140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11938000" cy="1086556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FB5814EC-F150-46DC-94BD-99A4ABBB0B17}"/>
            </a:ext>
          </a:extLst>
        </xdr:cNvPr>
        <xdr:cNvSpPr txBox="1"/>
      </xdr:nvSpPr>
      <xdr:spPr>
        <a:xfrm>
          <a:off x="141111" y="0"/>
          <a:ext cx="11938000" cy="1086556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ZA" sz="1200" b="1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Storm Shelter </a:t>
          </a:r>
          <a:r>
            <a:rPr lang="en-ZA" sz="1200" b="1" i="0" u="none" strike="noStrike" baseline="0">
              <a:solidFill>
                <a:srgbClr val="00B0F0"/>
              </a:solidFill>
              <a:latin typeface="+mn-lt"/>
              <a:ea typeface="+mn-ea"/>
              <a:cs typeface="+mn-cs"/>
            </a:rPr>
            <a:t>track data sheet</a:t>
          </a:r>
          <a:r>
            <a:rPr lang="en-ZA" sz="1200" b="1" i="0" u="none" strike="noStrike" baseline="0">
              <a:solidFill>
                <a:schemeClr val="tx1"/>
              </a:solidFill>
              <a:latin typeface="+mn-lt"/>
              <a:ea typeface="+mn-ea"/>
              <a:cs typeface="+mn-cs"/>
            </a:rPr>
            <a:t>. Length measurements are in centimetres.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ZA" sz="1100" b="0" i="0" u="none" strike="noStrike" baseline="0">
              <a:solidFill>
                <a:schemeClr val="tx1"/>
              </a:solidFill>
              <a:latin typeface="+mn-lt"/>
              <a:ea typeface="+mn-ea"/>
              <a:cs typeface="+mn-cs"/>
            </a:rPr>
            <a:t>From left to right (Footprint #): number of 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footprint</a:t>
          </a:r>
          <a:r>
            <a:rPr lang="en-ZA" sz="1100" b="0" i="0" u="none" strike="noStrike" baseline="0">
              <a:solidFill>
                <a:schemeClr val="tx1"/>
              </a:solidFill>
              <a:latin typeface="+mn-lt"/>
              <a:ea typeface="+mn-ea"/>
              <a:cs typeface="+mn-cs"/>
            </a:rPr>
            <a:t> in the trackway; (FL): track length; (FW): 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footprint</a:t>
          </a:r>
          <a:r>
            <a:rPr lang="en-ZA" sz="1100" b="0" i="0" u="none" strike="noStrike" baseline="0">
              <a:solidFill>
                <a:schemeClr val="tx1"/>
              </a:solidFill>
              <a:latin typeface="+mn-lt"/>
              <a:ea typeface="+mn-ea"/>
              <a:cs typeface="+mn-cs"/>
            </a:rPr>
            <a:t> width, excluding digit I; 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(FW'): footprintwidth, including digit I; </a:t>
          </a:r>
          <a:r>
            <a:rPr lang="en-ZA" sz="1100" b="0" i="0" u="none" strike="noStrike" baseline="0">
              <a:solidFill>
                <a:schemeClr val="tx1"/>
              </a:solidFill>
              <a:latin typeface="+mn-lt"/>
              <a:ea typeface="+mn-ea"/>
              <a:cs typeface="+mn-cs"/>
            </a:rPr>
            <a:t>(FL/FW): 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footprint</a:t>
          </a:r>
          <a:r>
            <a:rPr lang="en-ZA" sz="1100" b="0" i="0" u="none" strike="noStrike" baseline="0">
              <a:solidFill>
                <a:schemeClr val="tx1"/>
              </a:solidFill>
              <a:latin typeface="+mn-lt"/>
              <a:ea typeface="+mn-ea"/>
              <a:cs typeface="+mn-cs"/>
            </a:rPr>
            <a:t> length to width ratio; 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(AT): Anterior triangle; </a:t>
          </a:r>
          <a:r>
            <a:rPr lang="en-ZA" sz="1100" b="0" i="0" u="none" strike="noStrike" baseline="0">
              <a:solidFill>
                <a:schemeClr val="tx1"/>
              </a:solidFill>
              <a:latin typeface="+mn-lt"/>
              <a:ea typeface="+mn-ea"/>
              <a:cs typeface="+mn-cs"/>
            </a:rPr>
            <a:t> 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(ATL): </a:t>
          </a:r>
          <a:r>
            <a:rPr lang="en-ZA" sz="1100" b="0" i="0" u="none" strike="noStrike" baseline="0">
              <a:solidFill>
                <a:schemeClr val="tx1"/>
              </a:solidFill>
              <a:latin typeface="+mn-lt"/>
              <a:ea typeface="+mn-ea"/>
              <a:cs typeface="+mn-cs"/>
            </a:rPr>
            <a:t>Anterior triangle length; 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(ATW): Anterior triangle width; </a:t>
          </a:r>
          <a:r>
            <a:rPr lang="en-ZA" sz="1100" b="0" i="0" u="none" strike="noStrike" baseline="0">
              <a:solidFill>
                <a:schemeClr val="tx1"/>
              </a:solidFill>
              <a:latin typeface="+mn-lt"/>
              <a:ea typeface="+mn-ea"/>
              <a:cs typeface="+mn-cs"/>
            </a:rPr>
            <a:t>(ATL/FW): 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Anterior triangle length to footprint width ratio; (II^IV): </a:t>
          </a:r>
          <a:r>
            <a:rPr lang="en-ZA" sz="1100" b="0" i="0" u="none" strike="noStrike" baseline="0">
              <a:solidFill>
                <a:schemeClr val="tx1"/>
              </a:solidFill>
              <a:latin typeface="+mn-lt"/>
              <a:ea typeface="+mn-ea"/>
              <a:cs typeface="+mn-cs"/>
            </a:rPr>
            <a:t>total divarication between digits II and IV;  (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II^III): </a:t>
          </a:r>
          <a:r>
            <a:rPr lang="en-ZA" sz="1100" b="0" i="0" u="none" strike="noStrike" baseline="0">
              <a:solidFill>
                <a:schemeClr val="tx1"/>
              </a:solidFill>
              <a:latin typeface="+mn-lt"/>
              <a:ea typeface="+mn-ea"/>
              <a:cs typeface="+mn-cs"/>
            </a:rPr>
            <a:t>divarication 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between digits </a:t>
          </a:r>
          <a:r>
            <a:rPr lang="en-ZA" sz="1100" b="0" i="0" u="none" strike="noStrike" baseline="0">
              <a:solidFill>
                <a:schemeClr val="tx1"/>
              </a:solidFill>
              <a:latin typeface="+mn-lt"/>
              <a:ea typeface="+mn-ea"/>
              <a:cs typeface="+mn-cs"/>
            </a:rPr>
            <a:t> II and III; (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III^IV): </a:t>
          </a:r>
          <a:r>
            <a:rPr lang="en-ZA" sz="1100" b="0" i="0" u="none" strike="noStrike" baseline="0">
              <a:solidFill>
                <a:schemeClr val="tx1"/>
              </a:solidFill>
              <a:latin typeface="+mn-lt"/>
              <a:ea typeface="+mn-ea"/>
              <a:cs typeface="+mn-cs"/>
            </a:rPr>
            <a:t>divarication 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between digits</a:t>
          </a:r>
          <a:r>
            <a:rPr lang="en-ZA" sz="1100" b="0" i="0" u="none" strike="noStrike" baseline="0">
              <a:solidFill>
                <a:schemeClr val="tx1"/>
              </a:solidFill>
              <a:latin typeface="+mn-lt"/>
              <a:ea typeface="+mn-ea"/>
              <a:cs typeface="+mn-cs"/>
            </a:rPr>
            <a:t> III and IV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; (I^III): divarication between digits I and III; (No. of digits): number of visible digit marks on the footprint;  (LI-LIV): length of digits I, II, III and IV, respectively, inclusive of the claw trace. </a:t>
          </a:r>
          <a:endParaRPr lang="en-ZA" sz="1100">
            <a:effectLst/>
          </a:endParaRPr>
        </a:p>
        <a:p>
          <a:endParaRPr lang="en-ZA" sz="12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63390</xdr:colOff>
      <xdr:row>0</xdr:row>
      <xdr:rowOff>63606</xdr:rowOff>
    </xdr:from>
    <xdr:ext cx="6496436" cy="832794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496C447-CE64-460A-80FB-D0B1E1FD6B07}"/>
            </a:ext>
          </a:extLst>
        </xdr:cNvPr>
        <xdr:cNvSpPr txBox="1"/>
      </xdr:nvSpPr>
      <xdr:spPr>
        <a:xfrm>
          <a:off x="63390" y="63606"/>
          <a:ext cx="6496436" cy="832794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ZA" sz="1100" b="1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Storm Shelter </a:t>
          </a:r>
          <a:r>
            <a:rPr lang="en-ZA" sz="1100" b="1" i="0" u="none" strike="noStrike" baseline="0">
              <a:solidFill>
                <a:srgbClr val="00B0F0"/>
              </a:solidFill>
              <a:latin typeface="+mn-lt"/>
              <a:ea typeface="+mn-ea"/>
              <a:cs typeface="+mn-cs"/>
            </a:rPr>
            <a:t>trackway data</a:t>
          </a:r>
          <a:r>
            <a:rPr lang="en-ZA" sz="1100" b="1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. Measurements are in centimetres.</a:t>
          </a:r>
          <a:endParaRPr lang="en-ZA" sz="1100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ZA" sz="1100" b="0" i="0" u="none" strike="noStrike" baseline="0">
              <a:solidFill>
                <a:schemeClr val="tx1"/>
              </a:solidFill>
              <a:latin typeface="+mn-lt"/>
              <a:ea typeface="+mn-ea"/>
              <a:cs typeface="+mn-cs"/>
            </a:rPr>
            <a:t>From left to right (Footprint #): number of footprint in the trackway. 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(PP): pes pace. (PS): pes stride. (P ANG): Pace.</a:t>
          </a:r>
          <a:r>
            <a:rPr lang="en-ZA" sz="1100" b="0" i="0" u="none" strike="noStrike" baseline="0">
              <a:solidFill>
                <a:schemeClr val="tx1"/>
              </a:solidFill>
              <a:latin typeface="+mn-lt"/>
              <a:ea typeface="+mn-ea"/>
              <a:cs typeface="+mn-cs"/>
            </a:rPr>
            <a:t> 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(TW):  outer trackway width. (TR): average track width to trackway width ratio. </a:t>
          </a:r>
          <a:endParaRPr lang="en-ZA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45720</xdr:rowOff>
    </xdr:from>
    <xdr:ext cx="8864600" cy="86868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C94CA42-7589-485D-88F2-A6529010FDF2}"/>
            </a:ext>
          </a:extLst>
        </xdr:cNvPr>
        <xdr:cNvSpPr txBox="1"/>
      </xdr:nvSpPr>
      <xdr:spPr>
        <a:xfrm>
          <a:off x="0" y="45720"/>
          <a:ext cx="8864600" cy="868680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ZA" sz="1100" b="1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Storm Shelter </a:t>
          </a:r>
          <a:r>
            <a:rPr lang="en-ZA" sz="1200" b="1" i="0" u="none" strike="noStrike" baseline="0">
              <a:solidFill>
                <a:srgbClr val="00B0F0"/>
              </a:solidFill>
              <a:latin typeface="+mn-lt"/>
              <a:ea typeface="+mn-ea"/>
              <a:cs typeface="+mn-cs"/>
            </a:rPr>
            <a:t>speed and body dimension data</a:t>
          </a:r>
          <a:r>
            <a:rPr lang="en-ZA" sz="1100" b="1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. Length measurements are in centimetres. Speed estimate is in </a:t>
          </a:r>
          <a:r>
            <a:rPr lang="en-ZA" sz="1100" b="1" i="0" u="none" strike="noStrike" baseline="0">
              <a:solidFill>
                <a:schemeClr val="tx1"/>
              </a:solidFill>
              <a:latin typeface="+mn-lt"/>
              <a:ea typeface="+mn-ea"/>
              <a:cs typeface="+mn-cs"/>
            </a:rPr>
            <a:t>metres per second</a:t>
          </a:r>
          <a:r>
            <a:rPr lang="en-ZA" sz="1100" b="1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. Mass is in kg.</a:t>
          </a:r>
          <a:endParaRPr lang="en-ZA" sz="1200">
            <a:effectLst/>
          </a:endParaRPr>
        </a:p>
        <a:p>
          <a:r>
            <a:rPr lang="en-ZA" sz="1200" b="0" i="0" u="none" strike="noStrike" baseline="0">
              <a:solidFill>
                <a:schemeClr val="tx1"/>
              </a:solidFill>
              <a:latin typeface="+mn-lt"/>
              <a:ea typeface="+mn-ea"/>
              <a:cs typeface="+mn-cs"/>
            </a:rPr>
            <a:t>From left to right (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Footprint</a:t>
          </a:r>
          <a:r>
            <a:rPr lang="en-ZA" sz="1200" b="0" i="0" u="none" strike="noStrike" baseline="0">
              <a:solidFill>
                <a:schemeClr val="tx1"/>
              </a:solidFill>
              <a:latin typeface="+mn-lt"/>
              <a:ea typeface="+mn-ea"/>
              <a:cs typeface="+mn-cs"/>
            </a:rPr>
            <a:t> #): number of </a:t>
          </a:r>
          <a:r>
            <a:rPr lang="en-ZA" sz="1100" b="0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f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ootprint</a:t>
          </a:r>
          <a:r>
            <a:rPr lang="en-ZA" sz="1200" b="0" i="0" u="none" strike="noStrike" baseline="0">
              <a:solidFill>
                <a:schemeClr val="tx1"/>
              </a:solidFill>
              <a:latin typeface="+mn-lt"/>
              <a:ea typeface="+mn-ea"/>
              <a:cs typeface="+mn-cs"/>
            </a:rPr>
            <a:t> mark in the trackway; 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(FL): footprint length; h: hip height.</a:t>
          </a:r>
        </a:p>
        <a:p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Hip height, gait and speed estimates are made using equations in Thulborn</a:t>
          </a:r>
          <a:r>
            <a:rPr lang="en-ZA" sz="1100" b="0" i="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. Body length and mass estimates are made using equations in Thulborn</a:t>
          </a:r>
          <a:r>
            <a:rPr lang="en-ZA" sz="1100" b="0" i="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and Weems</a:t>
          </a:r>
          <a:r>
            <a:rPr lang="en-ZA" sz="1100" b="0" i="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.</a:t>
          </a:r>
          <a:endParaRPr lang="en-ZA" sz="1200" b="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27378</xdr:colOff>
      <xdr:row>0</xdr:row>
      <xdr:rowOff>52917</xdr:rowOff>
    </xdr:from>
    <xdr:to>
      <xdr:col>13</xdr:col>
      <xdr:colOff>37042</xdr:colOff>
      <xdr:row>0</xdr:row>
      <xdr:rowOff>365125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E552918-7525-4039-9DB4-9B02CAB0A2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160" r="49180" b="8953"/>
        <a:stretch/>
      </xdr:blipFill>
      <xdr:spPr>
        <a:xfrm>
          <a:off x="7171128" y="52917"/>
          <a:ext cx="2189830" cy="312208"/>
        </a:xfrm>
        <a:prstGeom prst="rect">
          <a:avLst/>
        </a:prstGeom>
        <a:ln w="19050">
          <a:solidFill>
            <a:srgbClr val="FF0000"/>
          </a:solidFill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13521266" cy="103716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8CCD8F-CB06-4AD8-99A0-E84067934FCB}"/>
            </a:ext>
          </a:extLst>
        </xdr:cNvPr>
        <xdr:cNvSpPr txBox="1"/>
      </xdr:nvSpPr>
      <xdr:spPr>
        <a:xfrm>
          <a:off x="141111" y="0"/>
          <a:ext cx="13521266" cy="1037167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ZA" sz="1100" b="1" i="0" u="none" strike="noStrike" baseline="0">
              <a:solidFill>
                <a:srgbClr val="00B0F0"/>
              </a:solidFill>
              <a:latin typeface="+mn-lt"/>
              <a:ea typeface="+mn-ea"/>
              <a:cs typeface="+mn-cs"/>
            </a:rPr>
            <a:t>Data sheet for two </a:t>
          </a:r>
          <a:r>
            <a:rPr lang="en-ZA" sz="1100" b="1" i="1" u="none" strike="noStrike" baseline="0">
              <a:solidFill>
                <a:srgbClr val="00B0F0"/>
              </a:solidFill>
              <a:latin typeface="+mn-lt"/>
              <a:ea typeface="+mn-ea"/>
              <a:cs typeface="+mn-cs"/>
            </a:rPr>
            <a:t>Grallator</a:t>
          </a:r>
          <a:r>
            <a:rPr lang="en-ZA" sz="1100" b="1" i="0" u="none" strike="noStrike" baseline="0">
              <a:solidFill>
                <a:srgbClr val="00B0F0"/>
              </a:solidFill>
              <a:latin typeface="+mn-lt"/>
              <a:ea typeface="+mn-ea"/>
              <a:cs typeface="+mn-cs"/>
            </a:rPr>
            <a:t>-like tracks (LES 283, 288) from the Clarens Formation and two, &lt;9 cm </a:t>
          </a:r>
          <a:r>
            <a:rPr lang="en-ZA" sz="1100" b="1" i="1">
              <a:solidFill>
                <a:srgbClr val="00B0F0"/>
              </a:solidFill>
              <a:effectLst/>
              <a:latin typeface="+mn-lt"/>
              <a:ea typeface="+mn-ea"/>
              <a:cs typeface="+mn-cs"/>
            </a:rPr>
            <a:t>Anomoepus</a:t>
          </a:r>
          <a:r>
            <a:rPr lang="en-ZA" sz="1100" b="1" i="0">
              <a:solidFill>
                <a:srgbClr val="00B0F0"/>
              </a:solidFill>
              <a:effectLst/>
              <a:latin typeface="+mn-lt"/>
              <a:ea typeface="+mn-ea"/>
              <a:cs typeface="+mn-cs"/>
            </a:rPr>
            <a:t>-like</a:t>
          </a:r>
          <a:r>
            <a:rPr lang="en-ZA" sz="1100" i="0">
              <a:solidFill>
                <a:srgbClr val="00B0F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ZA" sz="1100" b="1" i="0" u="none" strike="noStrike" baseline="0">
              <a:solidFill>
                <a:srgbClr val="00B0F0"/>
              </a:solidFill>
              <a:latin typeface="+mn-lt"/>
              <a:ea typeface="+mn-ea"/>
              <a:cs typeface="+mn-cs"/>
            </a:rPr>
            <a:t>tracks (</a:t>
          </a:r>
          <a:r>
            <a:rPr lang="en-ZA" sz="1100" b="1" i="0" baseline="0">
              <a:solidFill>
                <a:srgbClr val="00B0F0"/>
              </a:solidFill>
              <a:effectLst/>
              <a:latin typeface="+mn-lt"/>
              <a:ea typeface="+mn-ea"/>
              <a:cs typeface="+mn-cs"/>
            </a:rPr>
            <a:t>LES 111, 112</a:t>
          </a:r>
          <a:r>
            <a:rPr lang="en-ZA" sz="1100" b="1" i="0" u="none" strike="noStrike" baseline="0">
              <a:solidFill>
                <a:srgbClr val="00B0F0"/>
              </a:solidFill>
              <a:latin typeface="+mn-lt"/>
              <a:ea typeface="+mn-ea"/>
              <a:cs typeface="+mn-cs"/>
            </a:rPr>
            <a:t>) from the upper Elliot Formation (Lesotho). </a:t>
          </a:r>
          <a:r>
            <a:rPr lang="en-ZA" sz="1100" b="1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Length measurements are in centimetres.</a:t>
          </a:r>
        </a:p>
        <a:p>
          <a:r>
            <a:rPr lang="en-ZA" sz="1100" b="0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From left to right (Footprint </a:t>
          </a:r>
          <a:r>
            <a:rPr lang="en-ZA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Accession</a:t>
          </a:r>
          <a:r>
            <a:rPr lang="en-ZA" sz="1100" b="0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No.) inventory number of tracks found at the University of Montpellier, France; (FL): footprint length; (FW): 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footprint</a:t>
          </a:r>
          <a:r>
            <a:rPr lang="en-ZA" sz="1100" b="0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width, excluding digit I; (FL/FW): 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footprint</a:t>
          </a:r>
          <a:r>
            <a:rPr lang="en-ZA" sz="1100" b="0" i="0" u="none" strike="noStrike" baseline="0">
              <a:solidFill>
                <a:schemeClr val="tx1"/>
              </a:solidFill>
              <a:latin typeface="+mn-lt"/>
              <a:ea typeface="+mn-ea"/>
              <a:cs typeface="+mn-cs"/>
            </a:rPr>
            <a:t> length to width ratio; 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(AT): Anterior triangle; </a:t>
          </a:r>
          <a:r>
            <a:rPr lang="en-ZA" sz="1100" b="0" i="0" u="none" strike="noStrike" baseline="0">
              <a:solidFill>
                <a:schemeClr val="tx1"/>
              </a:solidFill>
              <a:latin typeface="+mn-lt"/>
              <a:ea typeface="+mn-ea"/>
              <a:cs typeface="+mn-cs"/>
            </a:rPr>
            <a:t> 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(ATL): </a:t>
          </a:r>
          <a:r>
            <a:rPr lang="en-ZA" sz="1100" b="0" i="0" u="none" strike="noStrike" baseline="0">
              <a:solidFill>
                <a:schemeClr val="tx1"/>
              </a:solidFill>
              <a:latin typeface="+mn-lt"/>
              <a:ea typeface="+mn-ea"/>
              <a:cs typeface="+mn-cs"/>
            </a:rPr>
            <a:t>Anterior triangle length; 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(ATL): Anterior triangle width; </a:t>
          </a:r>
          <a:r>
            <a:rPr lang="en-ZA" sz="1100" b="0" i="0" u="none" strike="noStrike" baseline="0">
              <a:solidFill>
                <a:schemeClr val="tx1"/>
              </a:solidFill>
              <a:latin typeface="+mn-lt"/>
              <a:ea typeface="+mn-ea"/>
              <a:cs typeface="+mn-cs"/>
            </a:rPr>
            <a:t>(ATL/FW) 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Anterior triangle length to footprint width ratio</a:t>
          </a:r>
          <a:r>
            <a:rPr lang="en-ZA" sz="1100" b="0" i="0" u="none" strike="noStrike" baseline="0">
              <a:solidFill>
                <a:schemeClr val="tx1"/>
              </a:solidFill>
              <a:latin typeface="+mn-lt"/>
              <a:ea typeface="+mn-ea"/>
              <a:cs typeface="+mn-cs"/>
            </a:rPr>
            <a:t>; 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(II^IV): </a:t>
          </a:r>
          <a:r>
            <a:rPr lang="en-ZA" sz="1100" b="0" i="0" u="none" strike="noStrike" baseline="0">
              <a:solidFill>
                <a:schemeClr val="tx1"/>
              </a:solidFill>
              <a:latin typeface="+mn-lt"/>
              <a:ea typeface="+mn-ea"/>
              <a:cs typeface="+mn-cs"/>
            </a:rPr>
            <a:t>total divarication between digits II and IV;  (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II^III): </a:t>
          </a:r>
          <a:r>
            <a:rPr lang="en-ZA" sz="1100" b="0" i="0" u="none" strike="noStrike" baseline="0">
              <a:solidFill>
                <a:schemeClr val="tx1"/>
              </a:solidFill>
              <a:latin typeface="+mn-lt"/>
              <a:ea typeface="+mn-ea"/>
              <a:cs typeface="+mn-cs"/>
            </a:rPr>
            <a:t>divarication 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between digits </a:t>
          </a:r>
          <a:r>
            <a:rPr lang="en-ZA" sz="1100" b="0" i="0" u="none" strike="noStrike" baseline="0">
              <a:solidFill>
                <a:schemeClr val="tx1"/>
              </a:solidFill>
              <a:latin typeface="+mn-lt"/>
              <a:ea typeface="+mn-ea"/>
              <a:cs typeface="+mn-cs"/>
            </a:rPr>
            <a:t>II and III; (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III^IV): </a:t>
          </a:r>
          <a:r>
            <a:rPr lang="en-ZA" sz="1100" b="0" i="0" u="none" strike="noStrike" baseline="0">
              <a:solidFill>
                <a:schemeClr val="tx1"/>
              </a:solidFill>
              <a:latin typeface="+mn-lt"/>
              <a:ea typeface="+mn-ea"/>
              <a:cs typeface="+mn-cs"/>
            </a:rPr>
            <a:t>divarication 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between digits </a:t>
          </a:r>
          <a:r>
            <a:rPr lang="en-ZA" sz="1100" b="0" i="0" u="none" strike="noStrike" baseline="0">
              <a:solidFill>
                <a:schemeClr val="tx1"/>
              </a:solidFill>
              <a:latin typeface="+mn-lt"/>
              <a:ea typeface="+mn-ea"/>
              <a:cs typeface="+mn-cs"/>
            </a:rPr>
            <a:t>III and IV</a:t>
          </a:r>
          <a:r>
            <a:rPr lang="en-ZA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; (I^III): divarication between digits I and III; (No. of toes): number of visible digit marks on the footprint;  (LI-LIV): length of digits I, II, III and IV, respectively.</a:t>
          </a:r>
          <a:endParaRPr lang="en-ZA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doi.org/10.17159/sajs.2021/9145" TargetMode="External"/><Relationship Id="rId1" Type="http://schemas.openxmlformats.org/officeDocument/2006/relationships/hyperlink" Target="https://doi.org/10.17159/sajs.2021/9145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A4CF58-31F7-4F90-9177-5350371BFF47}">
  <dimension ref="A1:A5"/>
  <sheetViews>
    <sheetView zoomScale="115" zoomScaleNormal="115" workbookViewId="0">
      <selection activeCell="E10" sqref="E10"/>
    </sheetView>
  </sheetViews>
  <sheetFormatPr defaultRowHeight="15" x14ac:dyDescent="0.25"/>
  <cols>
    <col min="1" max="1" width="9.140625" customWidth="1"/>
  </cols>
  <sheetData>
    <row r="1" spans="1:1" x14ac:dyDescent="0.25">
      <c r="A1" s="186" t="s">
        <v>81</v>
      </c>
    </row>
    <row r="3" spans="1:1" ht="15.75" x14ac:dyDescent="0.25">
      <c r="A3" s="185" t="s">
        <v>78</v>
      </c>
    </row>
    <row r="4" spans="1:1" ht="15.75" x14ac:dyDescent="0.25">
      <c r="A4" s="187" t="s">
        <v>79</v>
      </c>
    </row>
    <row r="5" spans="1:1" x14ac:dyDescent="0.25">
      <c r="A5" s="186" t="s">
        <v>80</v>
      </c>
    </row>
  </sheetData>
  <hyperlinks>
    <hyperlink ref="A1" r:id="rId1" display="https://doi.org/10.17159/sajs.2021/9145" xr:uid="{17437324-390E-45C7-8D48-7329D93C76E8}"/>
    <hyperlink ref="A5" r:id="rId2" display="https://doi.org/10.17159/sajs.2021/9145" xr:uid="{10B04F8F-0795-4F8B-9342-6C2045E7A0B3}"/>
  </hyperlinks>
  <pageMargins left="0.7" right="0.7" top="0.75" bottom="0.75" header="0.3" footer="0.3"/>
  <pageSetup paperSize="9" orientation="portrait" horizontalDpi="0" verticalDpi="0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DBCBE-3F29-4A77-AB61-18D3F2717D43}">
  <dimension ref="A33"/>
  <sheetViews>
    <sheetView topLeftCell="A22" zoomScaleNormal="100" workbookViewId="0">
      <selection activeCell="E30" sqref="E30"/>
    </sheetView>
  </sheetViews>
  <sheetFormatPr defaultRowHeight="15" x14ac:dyDescent="0.25"/>
  <cols>
    <col min="1" max="1" width="86" customWidth="1"/>
  </cols>
  <sheetData>
    <row r="33" spans="1:1" ht="148.5" customHeight="1" x14ac:dyDescent="0.25">
      <c r="A33" s="188" t="s">
        <v>82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12"/>
  <sheetViews>
    <sheetView zoomScaleNormal="100" workbookViewId="0">
      <selection activeCell="B18" sqref="B18"/>
    </sheetView>
  </sheetViews>
  <sheetFormatPr defaultRowHeight="15" x14ac:dyDescent="0.25"/>
  <cols>
    <col min="1" max="1" width="2" customWidth="1"/>
    <col min="2" max="2" width="8.85546875" customWidth="1"/>
    <col min="3" max="3" width="10.85546875" customWidth="1"/>
    <col min="4" max="5" width="12" customWidth="1"/>
    <col min="6" max="6" width="8.140625" bestFit="1" customWidth="1"/>
    <col min="7" max="9" width="6.42578125" customWidth="1"/>
    <col min="10" max="10" width="7.85546875" customWidth="1"/>
    <col min="11" max="11" width="9" customWidth="1"/>
    <col min="12" max="12" width="6.7109375" customWidth="1"/>
    <col min="13" max="13" width="4.85546875" bestFit="1" customWidth="1"/>
    <col min="14" max="14" width="5.28515625" style="5" bestFit="1" customWidth="1"/>
    <col min="15" max="15" width="5.5703125" customWidth="1"/>
    <col min="17" max="17" width="6" customWidth="1"/>
    <col min="18" max="18" width="5.42578125" customWidth="1"/>
    <col min="19" max="19" width="6.28515625" customWidth="1"/>
    <col min="20" max="20" width="5.5703125" customWidth="1"/>
  </cols>
  <sheetData>
    <row r="1" spans="1:20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7"/>
    </row>
    <row r="2" spans="1:20" ht="74.45" customHeight="1" thickBo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7"/>
    </row>
    <row r="3" spans="1:20" ht="32.25" thickBot="1" x14ac:dyDescent="0.3">
      <c r="A3" s="1"/>
      <c r="B3" s="19" t="s">
        <v>0</v>
      </c>
      <c r="C3" s="160" t="s">
        <v>73</v>
      </c>
      <c r="D3" s="161" t="s">
        <v>74</v>
      </c>
      <c r="E3" s="161" t="s">
        <v>75</v>
      </c>
      <c r="F3" s="169" t="s">
        <v>26</v>
      </c>
      <c r="G3" s="166" t="s">
        <v>40</v>
      </c>
      <c r="H3" s="8" t="s">
        <v>38</v>
      </c>
      <c r="I3" s="8" t="s">
        <v>39</v>
      </c>
      <c r="J3" s="8" t="s">
        <v>41</v>
      </c>
      <c r="K3" s="167" t="s">
        <v>37</v>
      </c>
      <c r="L3" s="170" t="s">
        <v>44</v>
      </c>
      <c r="M3" s="162" t="s">
        <v>1</v>
      </c>
      <c r="N3" s="163" t="s">
        <v>2</v>
      </c>
      <c r="O3" s="171" t="s">
        <v>46</v>
      </c>
      <c r="P3" s="172" t="s">
        <v>72</v>
      </c>
      <c r="Q3" s="43" t="s">
        <v>45</v>
      </c>
      <c r="R3" s="43" t="s">
        <v>34</v>
      </c>
      <c r="S3" s="43" t="s">
        <v>35</v>
      </c>
      <c r="T3" s="44" t="s">
        <v>36</v>
      </c>
    </row>
    <row r="4" spans="1:20" x14ac:dyDescent="0.25">
      <c r="A4" s="1"/>
      <c r="B4" s="77">
        <v>1</v>
      </c>
      <c r="C4" s="90">
        <v>7.47</v>
      </c>
      <c r="D4" s="71">
        <v>3.0609999999999999</v>
      </c>
      <c r="E4" s="71">
        <v>3.2090000000000001</v>
      </c>
      <c r="F4" s="33">
        <f>C4/D4</f>
        <v>2.4403789611238156</v>
      </c>
      <c r="G4" s="164">
        <v>52.097999999999999</v>
      </c>
      <c r="H4" s="71">
        <v>3.04</v>
      </c>
      <c r="I4" s="71">
        <v>3.09</v>
      </c>
      <c r="J4" s="32">
        <f>H4/I4</f>
        <v>0.9838187702265373</v>
      </c>
      <c r="K4" s="33">
        <f>H4/D4</f>
        <v>0.9931394968964391</v>
      </c>
      <c r="L4" s="60">
        <v>26.481000000000002</v>
      </c>
      <c r="M4" s="60">
        <v>15.512</v>
      </c>
      <c r="N4" s="60">
        <v>10.818</v>
      </c>
      <c r="O4" s="60">
        <v>65.78</v>
      </c>
      <c r="P4" s="173">
        <v>4</v>
      </c>
      <c r="Q4" s="71">
        <v>1.073</v>
      </c>
      <c r="R4" s="71">
        <v>3.1120000000000001</v>
      </c>
      <c r="S4" s="71">
        <v>4.0839999999999996</v>
      </c>
      <c r="T4" s="72">
        <v>3.7650000000000001</v>
      </c>
    </row>
    <row r="5" spans="1:20" x14ac:dyDescent="0.25">
      <c r="A5" s="1"/>
      <c r="B5" s="77">
        <v>2</v>
      </c>
      <c r="C5" s="90">
        <v>7.8520000000000003</v>
      </c>
      <c r="D5" s="71">
        <v>3.714</v>
      </c>
      <c r="E5" s="71">
        <v>4.3940000000000001</v>
      </c>
      <c r="F5" s="33">
        <f t="shared" ref="F5:F8" si="0">C5/D5</f>
        <v>2.1141626278944536</v>
      </c>
      <c r="G5" s="164">
        <v>63.920999999999999</v>
      </c>
      <c r="H5" s="71">
        <v>2.786</v>
      </c>
      <c r="I5" s="71">
        <v>3.6920000000000002</v>
      </c>
      <c r="J5" s="32">
        <f t="shared" ref="J5:J8" si="1">H5/I5</f>
        <v>0.75460455037919827</v>
      </c>
      <c r="K5" s="33">
        <f t="shared" ref="K5:K8" si="2">H5/D5</f>
        <v>0.75013462574044154</v>
      </c>
      <c r="L5" s="60">
        <v>34.005000000000003</v>
      </c>
      <c r="M5" s="60">
        <v>14.11</v>
      </c>
      <c r="N5" s="60">
        <v>20.119</v>
      </c>
      <c r="O5" s="60">
        <v>61.654000000000003</v>
      </c>
      <c r="P5" s="173">
        <v>4</v>
      </c>
      <c r="Q5" s="71">
        <v>1.08</v>
      </c>
      <c r="R5" s="71">
        <v>4.258</v>
      </c>
      <c r="S5" s="71">
        <v>4.5119999999999996</v>
      </c>
      <c r="T5" s="72">
        <v>4.29</v>
      </c>
    </row>
    <row r="6" spans="1:20" x14ac:dyDescent="0.25">
      <c r="A6" s="1"/>
      <c r="B6" s="77">
        <v>3</v>
      </c>
      <c r="C6" s="90">
        <v>7.0519999999999996</v>
      </c>
      <c r="D6" s="71">
        <v>3.383</v>
      </c>
      <c r="E6" s="71">
        <v>3.8109999999999999</v>
      </c>
      <c r="F6" s="33">
        <f t="shared" si="0"/>
        <v>2.0845403488028378</v>
      </c>
      <c r="G6" s="164">
        <v>57.337000000000003</v>
      </c>
      <c r="H6" s="71">
        <v>2.835</v>
      </c>
      <c r="I6" s="71">
        <v>3.2370000000000001</v>
      </c>
      <c r="J6" s="32">
        <f t="shared" si="1"/>
        <v>0.87581093605189986</v>
      </c>
      <c r="K6" s="33">
        <f t="shared" si="2"/>
        <v>0.83801359739875847</v>
      </c>
      <c r="L6" s="60">
        <v>25.349</v>
      </c>
      <c r="M6" s="60">
        <v>13.760999999999999</v>
      </c>
      <c r="N6" s="60">
        <v>11.452</v>
      </c>
      <c r="O6" s="60">
        <v>45.42</v>
      </c>
      <c r="P6" s="173">
        <v>4</v>
      </c>
      <c r="Q6" s="71">
        <v>0.86499999999999999</v>
      </c>
      <c r="R6" s="71">
        <v>3.1619999999999999</v>
      </c>
      <c r="S6" s="71">
        <v>4.07</v>
      </c>
      <c r="T6" s="72">
        <v>3.4750000000000001</v>
      </c>
    </row>
    <row r="7" spans="1:20" x14ac:dyDescent="0.25">
      <c r="A7" s="1"/>
      <c r="B7" s="77">
        <v>4</v>
      </c>
      <c r="C7" s="90">
        <v>7.4690000000000003</v>
      </c>
      <c r="D7" s="71">
        <v>4.3689999999999998</v>
      </c>
      <c r="E7" s="71">
        <v>3.35</v>
      </c>
      <c r="F7" s="33">
        <f t="shared" si="0"/>
        <v>1.7095445181963838</v>
      </c>
      <c r="G7" s="164">
        <v>45.438000000000002</v>
      </c>
      <c r="H7" s="71">
        <v>3.92</v>
      </c>
      <c r="I7" s="71">
        <v>3.234</v>
      </c>
      <c r="J7" s="32">
        <f t="shared" si="1"/>
        <v>1.2121212121212122</v>
      </c>
      <c r="K7" s="33">
        <f t="shared" si="2"/>
        <v>0.89723048752574963</v>
      </c>
      <c r="L7" s="60">
        <v>31.689</v>
      </c>
      <c r="M7" s="60">
        <v>11.523999999999999</v>
      </c>
      <c r="N7" s="60">
        <v>21.152000000000001</v>
      </c>
      <c r="O7" s="60">
        <v>41.987000000000002</v>
      </c>
      <c r="P7" s="173">
        <v>4</v>
      </c>
      <c r="Q7" s="71">
        <v>1.415</v>
      </c>
      <c r="R7" s="71">
        <v>2.7989999999999999</v>
      </c>
      <c r="S7" s="71">
        <v>5.4580000000000002</v>
      </c>
      <c r="T7" s="72">
        <v>4.0449999999999999</v>
      </c>
    </row>
    <row r="8" spans="1:20" ht="15" customHeight="1" thickBot="1" x14ac:dyDescent="0.3">
      <c r="A8" s="1"/>
      <c r="B8" s="77">
        <v>5</v>
      </c>
      <c r="C8" s="90">
        <v>7.7560000000000002</v>
      </c>
      <c r="D8" s="71">
        <v>3.33</v>
      </c>
      <c r="E8" s="71">
        <v>3.33</v>
      </c>
      <c r="F8" s="33">
        <f t="shared" si="0"/>
        <v>2.3291291291291292</v>
      </c>
      <c r="G8" s="164">
        <v>48.972999999999999</v>
      </c>
      <c r="H8" s="71">
        <v>3.4380000000000002</v>
      </c>
      <c r="I8" s="71">
        <v>3.1339999999999999</v>
      </c>
      <c r="J8" s="32">
        <f t="shared" si="1"/>
        <v>1.0970006381620934</v>
      </c>
      <c r="K8" s="33">
        <f t="shared" si="2"/>
        <v>1.0324324324324325</v>
      </c>
      <c r="L8" s="60">
        <v>29.867999999999999</v>
      </c>
      <c r="M8" s="60">
        <v>19.675000000000001</v>
      </c>
      <c r="N8" s="60">
        <v>9.6609999999999996</v>
      </c>
      <c r="O8" s="60">
        <v>53.411999999999999</v>
      </c>
      <c r="P8" s="173">
        <v>4</v>
      </c>
      <c r="Q8" s="71">
        <v>1.1180000000000001</v>
      </c>
      <c r="R8" s="71">
        <v>3.0350000000000001</v>
      </c>
      <c r="S8" s="71">
        <v>4.2240000000000002</v>
      </c>
      <c r="T8" s="72">
        <v>3.738</v>
      </c>
    </row>
    <row r="9" spans="1:20" ht="15.75" thickBot="1" x14ac:dyDescent="0.3">
      <c r="A9" s="1"/>
      <c r="B9" s="4" t="s">
        <v>3</v>
      </c>
      <c r="C9" s="16">
        <f>AVERAGE(C4:C8)</f>
        <v>7.5198000000000009</v>
      </c>
      <c r="D9" s="2">
        <f>AVERAGE(D4:D8)</f>
        <v>3.5713999999999997</v>
      </c>
      <c r="E9" s="2">
        <f>AVERAGE(E4:E8)</f>
        <v>3.6188000000000002</v>
      </c>
      <c r="F9" s="168">
        <f t="shared" ref="F9:K9" si="3">AVERAGE(F4:F8)</f>
        <v>2.135551117029324</v>
      </c>
      <c r="G9" s="165">
        <f>AVERAGE(G4:G8)</f>
        <v>53.553399999999996</v>
      </c>
      <c r="H9" s="2">
        <f t="shared" si="3"/>
        <v>3.2038000000000002</v>
      </c>
      <c r="I9" s="2">
        <f t="shared" si="3"/>
        <v>3.2774000000000001</v>
      </c>
      <c r="J9" s="2">
        <f t="shared" si="3"/>
        <v>0.98467122138818808</v>
      </c>
      <c r="K9" s="168">
        <f t="shared" si="3"/>
        <v>0.90219012799876419</v>
      </c>
      <c r="L9" s="174">
        <f>AVERAGE(L4:L8)</f>
        <v>29.478400000000001</v>
      </c>
      <c r="M9" s="18">
        <f>AVERAGE(M4:M8)</f>
        <v>14.916399999999999</v>
      </c>
      <c r="N9" s="18">
        <f>AVERAGE(N4:N8)</f>
        <v>14.6404</v>
      </c>
      <c r="O9" s="175">
        <f>AVERAGE(O4:O8)</f>
        <v>53.650599999999997</v>
      </c>
      <c r="P9" s="176">
        <v>4</v>
      </c>
      <c r="Q9" s="177">
        <f>AVERAGE(Q4:Q8)</f>
        <v>1.1102000000000001</v>
      </c>
      <c r="R9" s="178">
        <f>AVERAGE(R4:R8)</f>
        <v>3.2732000000000001</v>
      </c>
      <c r="S9" s="178">
        <f>AVERAGE(S4:S8)</f>
        <v>4.4696000000000007</v>
      </c>
      <c r="T9" s="179">
        <f>AVERAGE(T4:T8)</f>
        <v>3.8625999999999996</v>
      </c>
    </row>
    <row r="12" spans="1:20" x14ac:dyDescent="0.25">
      <c r="B12" s="29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5:N15"/>
  <sheetViews>
    <sheetView zoomScale="92" zoomScaleNormal="92" workbookViewId="0">
      <selection activeCell="C16" sqref="C16"/>
    </sheetView>
  </sheetViews>
  <sheetFormatPr defaultRowHeight="15" x14ac:dyDescent="0.25"/>
  <cols>
    <col min="1" max="1" width="9.85546875" customWidth="1"/>
    <col min="2" max="6" width="10.42578125" customWidth="1"/>
    <col min="7" max="7" width="10.85546875" customWidth="1"/>
  </cols>
  <sheetData>
    <row r="5" spans="1:14" ht="15.75" thickBot="1" x14ac:dyDescent="0.3"/>
    <row r="6" spans="1:14" ht="36" customHeight="1" thickBot="1" x14ac:dyDescent="0.3">
      <c r="B6" s="74" t="s">
        <v>0</v>
      </c>
      <c r="C6" s="80" t="s">
        <v>27</v>
      </c>
      <c r="D6" s="74" t="s">
        <v>25</v>
      </c>
      <c r="E6" s="81" t="s">
        <v>28</v>
      </c>
      <c r="F6" s="26" t="s">
        <v>42</v>
      </c>
      <c r="G6" s="28" t="s">
        <v>71</v>
      </c>
      <c r="H6" s="183" t="s">
        <v>77</v>
      </c>
      <c r="N6" s="22"/>
    </row>
    <row r="7" spans="1:14" x14ac:dyDescent="0.25">
      <c r="B7" s="152" t="s">
        <v>29</v>
      </c>
      <c r="C7" s="153">
        <v>49</v>
      </c>
      <c r="D7" s="154" t="s">
        <v>9</v>
      </c>
      <c r="E7" s="88">
        <v>97</v>
      </c>
      <c r="F7" s="155">
        <v>170</v>
      </c>
      <c r="G7" s="155">
        <v>6.8</v>
      </c>
      <c r="H7" s="145">
        <f>3.39/G7*100</f>
        <v>49.852941176470587</v>
      </c>
      <c r="N7" s="22"/>
    </row>
    <row r="8" spans="1:14" x14ac:dyDescent="0.25">
      <c r="B8" s="156" t="s">
        <v>30</v>
      </c>
      <c r="C8" s="153">
        <v>48.5</v>
      </c>
      <c r="D8" s="157" t="s">
        <v>10</v>
      </c>
      <c r="E8" s="89">
        <v>101</v>
      </c>
      <c r="F8" s="155">
        <v>174</v>
      </c>
      <c r="G8" s="155">
        <v>8</v>
      </c>
      <c r="H8" s="145">
        <f>3.55/G8*100</f>
        <v>44.375</v>
      </c>
      <c r="N8" s="22"/>
    </row>
    <row r="9" spans="1:14" x14ac:dyDescent="0.25">
      <c r="B9" s="156" t="s">
        <v>31</v>
      </c>
      <c r="C9" s="153">
        <v>47</v>
      </c>
      <c r="D9" s="157" t="s">
        <v>11</v>
      </c>
      <c r="E9" s="88">
        <v>92.5</v>
      </c>
      <c r="F9" s="155">
        <v>174</v>
      </c>
      <c r="G9" s="155">
        <v>5.3</v>
      </c>
      <c r="H9" s="145">
        <f>3.88/G9*100</f>
        <v>73.20754716981132</v>
      </c>
      <c r="N9" s="22"/>
    </row>
    <row r="10" spans="1:14" ht="15.75" thickBot="1" x14ac:dyDescent="0.3">
      <c r="B10" s="156" t="s">
        <v>32</v>
      </c>
      <c r="C10" s="153">
        <v>46</v>
      </c>
      <c r="D10" s="158"/>
      <c r="E10" s="158"/>
      <c r="F10" s="159" t="s">
        <v>33</v>
      </c>
      <c r="G10" s="155">
        <v>4.3</v>
      </c>
      <c r="H10" s="145">
        <f>3.85/G10*100</f>
        <v>89.534883720930239</v>
      </c>
      <c r="N10" s="22"/>
    </row>
    <row r="11" spans="1:14" ht="15.75" thickBot="1" x14ac:dyDescent="0.3">
      <c r="A11" s="23" t="s">
        <v>3</v>
      </c>
      <c r="B11" s="24"/>
      <c r="C11" s="25">
        <f>AVERAGE(C7:C10)</f>
        <v>47.625</v>
      </c>
      <c r="D11" s="9"/>
      <c r="E11" s="9">
        <f>AVERAGE(E7:E10)</f>
        <v>96.833333333333329</v>
      </c>
      <c r="F11" s="27">
        <f>AVERAGE(F7:F10)</f>
        <v>172.66666666666666</v>
      </c>
      <c r="G11" s="27">
        <f>AVERAGE(G7:G10)</f>
        <v>6.1000000000000005</v>
      </c>
      <c r="H11" s="184">
        <f>3.6/G11*100</f>
        <v>59.016393442622949</v>
      </c>
    </row>
    <row r="15" spans="1:14" x14ac:dyDescent="0.25">
      <c r="I15" s="3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L14"/>
  <sheetViews>
    <sheetView tabSelected="1" workbookViewId="0">
      <selection activeCell="B16" sqref="B16"/>
    </sheetView>
  </sheetViews>
  <sheetFormatPr defaultRowHeight="15" x14ac:dyDescent="0.25"/>
  <cols>
    <col min="1" max="1" width="11.140625" customWidth="1"/>
    <col min="2" max="2" width="10.85546875" bestFit="1" customWidth="1"/>
    <col min="4" max="4" width="9.5703125" bestFit="1" customWidth="1"/>
    <col min="10" max="10" width="8.5703125" customWidth="1"/>
    <col min="11" max="11" width="11.140625" customWidth="1"/>
    <col min="12" max="12" width="13.140625" customWidth="1"/>
  </cols>
  <sheetData>
    <row r="3" spans="1:12" ht="53.1" customHeight="1" thickBot="1" x14ac:dyDescent="0.3"/>
    <row r="4" spans="1:12" ht="16.5" thickBot="1" x14ac:dyDescent="0.3">
      <c r="A4" s="200" t="s">
        <v>0</v>
      </c>
      <c r="B4" s="202" t="s">
        <v>4</v>
      </c>
      <c r="C4" s="204" t="s">
        <v>15</v>
      </c>
      <c r="D4" s="197" t="s">
        <v>14</v>
      </c>
      <c r="E4" s="198"/>
      <c r="F4" s="199"/>
      <c r="G4" s="197" t="s">
        <v>16</v>
      </c>
      <c r="H4" s="198"/>
      <c r="I4" s="199"/>
      <c r="J4" s="195" t="s">
        <v>47</v>
      </c>
      <c r="K4" s="193" t="s">
        <v>70</v>
      </c>
      <c r="L4" s="194"/>
    </row>
    <row r="5" spans="1:12" ht="28.5" customHeight="1" thickBot="1" x14ac:dyDescent="0.3">
      <c r="A5" s="201"/>
      <c r="B5" s="203"/>
      <c r="C5" s="205"/>
      <c r="D5" s="37" t="s">
        <v>76</v>
      </c>
      <c r="E5" s="38" t="s">
        <v>68</v>
      </c>
      <c r="F5" s="39" t="s">
        <v>69</v>
      </c>
      <c r="G5" s="37" t="s">
        <v>76</v>
      </c>
      <c r="H5" s="38" t="s">
        <v>68</v>
      </c>
      <c r="I5" s="39" t="s">
        <v>69</v>
      </c>
      <c r="J5" s="196"/>
      <c r="K5" s="147" t="s">
        <v>14</v>
      </c>
      <c r="L5" s="148" t="s">
        <v>16</v>
      </c>
    </row>
    <row r="6" spans="1:12" x14ac:dyDescent="0.25">
      <c r="A6" s="182" t="s">
        <v>9</v>
      </c>
      <c r="B6" s="90">
        <v>7.26</v>
      </c>
      <c r="C6" s="75">
        <v>97</v>
      </c>
      <c r="D6" s="31">
        <v>29.321701894184816</v>
      </c>
      <c r="E6" s="32">
        <v>3.3125294142378201</v>
      </c>
      <c r="F6" s="33">
        <v>3.6961191357201657</v>
      </c>
      <c r="G6" s="31">
        <v>32.67</v>
      </c>
      <c r="H6" s="32">
        <v>2.9730333639424549</v>
      </c>
      <c r="I6" s="33">
        <v>3.3971693108610204</v>
      </c>
      <c r="J6" s="145">
        <f>4*(3.06*(B6^1.14))</f>
        <v>117.28680757673926</v>
      </c>
      <c r="K6" s="106">
        <f>(4.73*D6/100)^3</f>
        <v>2.6677857255390172</v>
      </c>
      <c r="L6" s="149">
        <f>(4.73*G6/100)^3</f>
        <v>3.6900378903460784</v>
      </c>
    </row>
    <row r="7" spans="1:12" x14ac:dyDescent="0.25">
      <c r="A7" s="182" t="s">
        <v>10</v>
      </c>
      <c r="B7" s="90">
        <v>7.66</v>
      </c>
      <c r="C7" s="73">
        <v>101</v>
      </c>
      <c r="D7" s="31">
        <v>31.1703891182012</v>
      </c>
      <c r="E7" s="32">
        <v>3.2505208586195229</v>
      </c>
      <c r="F7" s="33">
        <v>3.711061238660434</v>
      </c>
      <c r="G7" s="31">
        <v>34.47</v>
      </c>
      <c r="H7" s="32">
        <v>2.9393675659994196</v>
      </c>
      <c r="I7" s="33">
        <v>3.4309378774626094</v>
      </c>
      <c r="J7" s="145">
        <f t="shared" ref="J7:J8" si="0">4*(3.06*(B7^1.14))</f>
        <v>124.6815564728048</v>
      </c>
      <c r="K7" s="106">
        <f>(4.73*D7/100)^3</f>
        <v>3.2048676089952743</v>
      </c>
      <c r="L7" s="149">
        <f>(4.73*G7/100)^3</f>
        <v>4.3341832801513549</v>
      </c>
    </row>
    <row r="8" spans="1:12" ht="15.75" thickBot="1" x14ac:dyDescent="0.3">
      <c r="A8" s="182" t="s">
        <v>11</v>
      </c>
      <c r="B8" s="90">
        <v>7.4</v>
      </c>
      <c r="C8" s="75">
        <v>92.5</v>
      </c>
      <c r="D8" s="31">
        <v>29.967160023778991</v>
      </c>
      <c r="E8" s="32">
        <v>3.0889146628025053</v>
      </c>
      <c r="F8" s="33">
        <v>3.4195074733541464</v>
      </c>
      <c r="G8" s="31">
        <v>33.299999999999997</v>
      </c>
      <c r="H8" s="32">
        <v>2.7797597597597594</v>
      </c>
      <c r="I8" s="33">
        <v>3.1494927497779823</v>
      </c>
      <c r="J8" s="145">
        <f t="shared" si="0"/>
        <v>119.86864009511596</v>
      </c>
      <c r="K8" s="106">
        <f>(4.73*D8/100)^3</f>
        <v>2.8478701472868377</v>
      </c>
      <c r="L8" s="149">
        <f>(4.73*G8/100)^3</f>
        <v>3.9076541820232293</v>
      </c>
    </row>
    <row r="9" spans="1:12" ht="15.75" thickBot="1" x14ac:dyDescent="0.3">
      <c r="A9" s="30" t="s">
        <v>3</v>
      </c>
      <c r="B9" s="129">
        <f>AVERAGE(B6:B8)</f>
        <v>7.44</v>
      </c>
      <c r="C9" s="130">
        <f t="shared" ref="C9" si="1">AVERAGE(C6:C8)</f>
        <v>96.833333333333329</v>
      </c>
      <c r="D9" s="131">
        <f t="shared" ref="D9:J9" si="2">AVERAGE(D6:D8)</f>
        <v>30.153083678721668</v>
      </c>
      <c r="E9" s="132">
        <f t="shared" si="2"/>
        <v>3.2173216452199491</v>
      </c>
      <c r="F9" s="132">
        <f t="shared" si="2"/>
        <v>3.6088959492449155</v>
      </c>
      <c r="G9" s="131">
        <f t="shared" si="2"/>
        <v>33.479999999999997</v>
      </c>
      <c r="H9" s="132">
        <f t="shared" si="2"/>
        <v>2.8973868965672112</v>
      </c>
      <c r="I9" s="146">
        <f t="shared" si="2"/>
        <v>3.3258666460338708</v>
      </c>
      <c r="J9" s="146">
        <f t="shared" si="2"/>
        <v>120.61233471488667</v>
      </c>
      <c r="K9" s="150">
        <f t="shared" ref="K9:L9" si="3">AVERAGE(K6:K8)</f>
        <v>2.9068411606070428</v>
      </c>
      <c r="L9" s="151">
        <f t="shared" si="3"/>
        <v>3.9772917841735542</v>
      </c>
    </row>
    <row r="10" spans="1:12" x14ac:dyDescent="0.25">
      <c r="A10" s="180"/>
    </row>
    <row r="11" spans="1:12" x14ac:dyDescent="0.25">
      <c r="A11" s="181"/>
    </row>
    <row r="12" spans="1:12" x14ac:dyDescent="0.25">
      <c r="A12">
        <v>1</v>
      </c>
      <c r="B12" s="190" t="s">
        <v>83</v>
      </c>
    </row>
    <row r="13" spans="1:12" x14ac:dyDescent="0.25">
      <c r="A13">
        <v>2</v>
      </c>
      <c r="B13" s="189" t="s">
        <v>84</v>
      </c>
    </row>
    <row r="14" spans="1:12" x14ac:dyDescent="0.25">
      <c r="A14" s="29"/>
    </row>
  </sheetData>
  <mergeCells count="7">
    <mergeCell ref="K4:L4"/>
    <mergeCell ref="J4:J5"/>
    <mergeCell ref="D4:F4"/>
    <mergeCell ref="G4:I4"/>
    <mergeCell ref="A4:A5"/>
    <mergeCell ref="B4:B5"/>
    <mergeCell ref="C4:C5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I14"/>
  <sheetViews>
    <sheetView zoomScale="108" zoomScaleNormal="108" workbookViewId="0">
      <selection activeCell="U2" sqref="U2:U4"/>
    </sheetView>
  </sheetViews>
  <sheetFormatPr defaultRowHeight="15" x14ac:dyDescent="0.25"/>
  <cols>
    <col min="1" max="1" width="7.42578125" customWidth="1"/>
    <col min="2" max="2" width="10.42578125" customWidth="1"/>
    <col min="3" max="3" width="12.140625" bestFit="1" customWidth="1"/>
    <col min="4" max="4" width="15.5703125" bestFit="1" customWidth="1"/>
    <col min="6" max="6" width="13.140625" customWidth="1"/>
    <col min="7" max="7" width="12.140625" customWidth="1"/>
    <col min="9" max="9" width="6.140625" customWidth="1"/>
    <col min="10" max="10" width="8" customWidth="1"/>
    <col min="12" max="12" width="6.85546875" customWidth="1"/>
    <col min="13" max="13" width="15.5703125" bestFit="1" customWidth="1"/>
    <col min="16" max="16" width="10.85546875" customWidth="1"/>
    <col min="17" max="17" width="7.140625" customWidth="1"/>
    <col min="18" max="18" width="15.140625" customWidth="1"/>
    <col min="20" max="20" width="15.7109375" customWidth="1"/>
  </cols>
  <sheetData>
    <row r="1" spans="1:87" s="29" customFormat="1" ht="32.450000000000003" customHeight="1" thickBot="1" x14ac:dyDescent="0.3">
      <c r="E1" s="34"/>
      <c r="F1" s="206" t="s">
        <v>88</v>
      </c>
      <c r="G1" s="206"/>
      <c r="H1" s="206"/>
      <c r="I1" s="206"/>
      <c r="J1" s="206"/>
      <c r="P1" s="207"/>
      <c r="Q1" s="207"/>
      <c r="R1" s="207"/>
      <c r="S1" s="207"/>
      <c r="T1" s="207"/>
    </row>
    <row r="2" spans="1:87" ht="15.75" thickBot="1" x14ac:dyDescent="0.3">
      <c r="F2" s="110" t="s">
        <v>12</v>
      </c>
      <c r="G2" s="111" t="s">
        <v>13</v>
      </c>
      <c r="H2" s="110"/>
      <c r="I2" s="13" t="s">
        <v>12</v>
      </c>
      <c r="J2" s="111" t="s">
        <v>13</v>
      </c>
      <c r="K2" s="100" t="s">
        <v>22</v>
      </c>
      <c r="L2" s="101"/>
      <c r="M2" s="101" t="s">
        <v>64</v>
      </c>
      <c r="N2" s="101" t="s">
        <v>23</v>
      </c>
      <c r="O2" s="144" t="s">
        <v>65</v>
      </c>
      <c r="P2" s="100" t="s">
        <v>63</v>
      </c>
      <c r="Q2" s="101"/>
      <c r="R2" s="101" t="s">
        <v>67</v>
      </c>
      <c r="S2" s="101" t="s">
        <v>23</v>
      </c>
      <c r="T2" s="192" t="s">
        <v>66</v>
      </c>
      <c r="U2" s="5"/>
    </row>
    <row r="3" spans="1:87" s="11" customFormat="1" ht="15.75" thickBot="1" x14ac:dyDescent="0.3">
      <c r="A3" s="41" t="s">
        <v>43</v>
      </c>
      <c r="B3" s="11" t="s">
        <v>4</v>
      </c>
      <c r="C3" s="12" t="s">
        <v>6</v>
      </c>
      <c r="D3" s="12" t="s">
        <v>7</v>
      </c>
      <c r="E3" s="11" t="s">
        <v>5</v>
      </c>
      <c r="F3" s="98" t="s">
        <v>8</v>
      </c>
      <c r="G3" s="93" t="s">
        <v>8</v>
      </c>
      <c r="H3" s="98" t="s">
        <v>17</v>
      </c>
      <c r="I3" s="92" t="s">
        <v>18</v>
      </c>
      <c r="J3" s="93" t="s">
        <v>18</v>
      </c>
      <c r="K3" s="116" t="s">
        <v>19</v>
      </c>
      <c r="L3" s="102" t="s">
        <v>20</v>
      </c>
      <c r="M3" s="102" t="s">
        <v>21</v>
      </c>
      <c r="N3" s="102"/>
      <c r="O3" s="121" t="s">
        <v>24</v>
      </c>
      <c r="P3" s="116" t="s">
        <v>19</v>
      </c>
      <c r="Q3" s="102" t="s">
        <v>20</v>
      </c>
      <c r="R3" s="102" t="s">
        <v>21</v>
      </c>
      <c r="S3" s="102"/>
      <c r="T3" s="121" t="s">
        <v>24</v>
      </c>
      <c r="U3" s="191"/>
      <c r="V3" s="191"/>
      <c r="W3" s="191"/>
      <c r="X3" s="191"/>
      <c r="Y3" s="191"/>
      <c r="Z3" s="191"/>
      <c r="AA3" s="191"/>
      <c r="AB3" s="191"/>
      <c r="AC3" s="191"/>
      <c r="AD3" s="191"/>
      <c r="AE3" s="191"/>
      <c r="AF3" s="191"/>
      <c r="AG3" s="191"/>
      <c r="AH3" s="191"/>
      <c r="AI3" s="191"/>
      <c r="AJ3" s="191"/>
      <c r="AK3" s="191"/>
      <c r="AL3" s="191"/>
      <c r="AM3" s="191"/>
      <c r="AN3" s="191"/>
      <c r="AO3" s="191"/>
      <c r="AP3" s="191"/>
      <c r="AQ3" s="191"/>
      <c r="AR3" s="191"/>
      <c r="AS3" s="191"/>
      <c r="AT3" s="191"/>
      <c r="AU3" s="191"/>
      <c r="AV3" s="191"/>
      <c r="AW3" s="191"/>
      <c r="AX3" s="191"/>
      <c r="AY3" s="191"/>
      <c r="AZ3" s="191"/>
      <c r="BA3" s="191"/>
      <c r="BB3" s="191"/>
      <c r="BC3" s="191"/>
      <c r="BD3" s="191"/>
      <c r="BE3" s="191"/>
      <c r="BF3" s="191"/>
      <c r="BG3" s="191"/>
      <c r="BH3" s="191"/>
      <c r="BI3" s="191"/>
      <c r="BJ3" s="191"/>
      <c r="BK3" s="191"/>
      <c r="BL3" s="191"/>
      <c r="BM3" s="191"/>
      <c r="BN3" s="191"/>
      <c r="BO3" s="191"/>
      <c r="BP3" s="191"/>
      <c r="BQ3" s="191"/>
      <c r="BR3" s="191"/>
      <c r="BS3" s="191"/>
      <c r="BT3" s="191"/>
      <c r="BU3" s="191"/>
      <c r="BV3" s="191"/>
      <c r="BW3" s="191"/>
      <c r="BX3" s="191"/>
      <c r="BY3" s="191"/>
      <c r="BZ3" s="191"/>
      <c r="CA3" s="191"/>
      <c r="CB3" s="191"/>
      <c r="CC3" s="191"/>
      <c r="CD3" s="191"/>
      <c r="CE3" s="191"/>
      <c r="CF3" s="191"/>
      <c r="CG3" s="191"/>
      <c r="CH3" s="191"/>
      <c r="CI3" s="191"/>
    </row>
    <row r="4" spans="1:87" x14ac:dyDescent="0.25">
      <c r="A4" s="82" t="s">
        <v>9</v>
      </c>
      <c r="B4" s="67">
        <v>7.26</v>
      </c>
      <c r="C4" s="125">
        <f>3.06*(B4^1.14)</f>
        <v>29.321701894184816</v>
      </c>
      <c r="D4" s="67">
        <f>4.5*B4</f>
        <v>32.67</v>
      </c>
      <c r="E4" s="133">
        <v>97</v>
      </c>
      <c r="F4" s="107">
        <f>E4/C4</f>
        <v>3.3081299424586739</v>
      </c>
      <c r="G4" s="113">
        <f>E4/D4</f>
        <v>2.9690847872666053</v>
      </c>
      <c r="H4" s="112">
        <f>E4/100</f>
        <v>0.97</v>
      </c>
      <c r="I4" s="94">
        <f>C4/100</f>
        <v>0.29321701894184815</v>
      </c>
      <c r="J4" s="95">
        <f>D4/100</f>
        <v>0.32669999999999999</v>
      </c>
      <c r="K4" s="117">
        <f>9.81*I4</f>
        <v>2.8764589558195306</v>
      </c>
      <c r="L4" s="103">
        <f>1.8*I4</f>
        <v>0.52779063409532667</v>
      </c>
      <c r="M4" s="103">
        <f>(H4/L4)^2.56</f>
        <v>4.7493452454094029</v>
      </c>
      <c r="N4" s="103">
        <f>K4*M4</f>
        <v>13.661296665436783</v>
      </c>
      <c r="O4" s="122">
        <f>N4^0.5</f>
        <v>3.6961191357201657</v>
      </c>
      <c r="P4" s="117">
        <f>9.81*J4</f>
        <v>3.2049270000000001</v>
      </c>
      <c r="Q4" s="103">
        <f>1.8*J4</f>
        <v>0.58806000000000003</v>
      </c>
      <c r="R4" s="103">
        <f>(H4/Q4)^2.56</f>
        <v>3.6009429627120801</v>
      </c>
      <c r="S4" s="103">
        <f>P4*R4</f>
        <v>11.540759326655939</v>
      </c>
      <c r="T4" s="122">
        <f>S4^0.5</f>
        <v>3.3971693108610204</v>
      </c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</row>
    <row r="5" spans="1:87" x14ac:dyDescent="0.25">
      <c r="A5" s="20" t="s">
        <v>10</v>
      </c>
      <c r="B5" s="126">
        <v>7.66</v>
      </c>
      <c r="C5" s="127">
        <f>3.06*(B5^1.14)</f>
        <v>31.1703891182012</v>
      </c>
      <c r="D5" s="126">
        <f>4.5*B5</f>
        <v>34.47</v>
      </c>
      <c r="E5" s="134">
        <v>101</v>
      </c>
      <c r="F5" s="108">
        <f t="shared" ref="F5:F6" si="0">E5/C5</f>
        <v>3.240254705098419</v>
      </c>
      <c r="G5" s="114">
        <f t="shared" ref="G5:G6" si="1">E5/D5</f>
        <v>2.9300841311285177</v>
      </c>
      <c r="H5" s="90">
        <f t="shared" ref="H5:H6" si="2">E5/100</f>
        <v>1.01</v>
      </c>
      <c r="I5" s="71">
        <f>C5/100</f>
        <v>0.31170389118201203</v>
      </c>
      <c r="J5" s="72">
        <f t="shared" ref="J5:J6" si="3">D5/100</f>
        <v>0.34470000000000001</v>
      </c>
      <c r="K5" s="118">
        <f>9.81*I5</f>
        <v>3.057815172495538</v>
      </c>
      <c r="L5" s="104">
        <f>1.8*I5</f>
        <v>0.56106700412762167</v>
      </c>
      <c r="M5" s="104">
        <f>(H5/L5)^2.56</f>
        <v>4.5038613324193681</v>
      </c>
      <c r="N5" s="104">
        <f>K5*M5</f>
        <v>13.771975517087913</v>
      </c>
      <c r="O5" s="123">
        <f>N5^0.5</f>
        <v>3.711061238660434</v>
      </c>
      <c r="P5" s="118">
        <f>9.81*J5</f>
        <v>3.381507</v>
      </c>
      <c r="Q5" s="104">
        <f>1.8*J5</f>
        <v>0.62046000000000001</v>
      </c>
      <c r="R5" s="104">
        <f>(H5/Q5)^2.56</f>
        <v>3.4810913356109081</v>
      </c>
      <c r="S5" s="104">
        <f>P5*R5</f>
        <v>11.771334719007635</v>
      </c>
      <c r="T5" s="123">
        <f>S5^0.5</f>
        <v>3.4309378774626094</v>
      </c>
    </row>
    <row r="6" spans="1:87" ht="15.75" thickBot="1" x14ac:dyDescent="0.3">
      <c r="A6" s="42" t="s">
        <v>11</v>
      </c>
      <c r="B6" s="128">
        <v>7.4</v>
      </c>
      <c r="C6" s="120">
        <f>3.06*(B6^1.14)</f>
        <v>29.967160023778991</v>
      </c>
      <c r="D6" s="128">
        <f>4.5*B6</f>
        <v>33.300000000000004</v>
      </c>
      <c r="E6" s="135">
        <v>92.5</v>
      </c>
      <c r="F6" s="109">
        <f t="shared" si="0"/>
        <v>3.0867122518984482</v>
      </c>
      <c r="G6" s="115">
        <f t="shared" si="1"/>
        <v>2.7777777777777772</v>
      </c>
      <c r="H6" s="99">
        <f t="shared" si="2"/>
        <v>0.92500000000000004</v>
      </c>
      <c r="I6" s="96">
        <f t="shared" ref="I6" si="4">C6/100</f>
        <v>0.29967160023778994</v>
      </c>
      <c r="J6" s="97">
        <f t="shared" si="3"/>
        <v>0.33300000000000002</v>
      </c>
      <c r="K6" s="119">
        <f>9.81*I6</f>
        <v>2.9397783983327193</v>
      </c>
      <c r="L6" s="105">
        <f>1.8*I6</f>
        <v>0.53940888042802193</v>
      </c>
      <c r="M6" s="105">
        <f>(H6/L6)^2.56</f>
        <v>3.9775213556765037</v>
      </c>
      <c r="N6" s="105">
        <f>K6*M6</f>
        <v>11.693031360324857</v>
      </c>
      <c r="O6" s="124">
        <f>N6^0.5</f>
        <v>3.4195074733541464</v>
      </c>
      <c r="P6" s="119">
        <f>9.81*J6</f>
        <v>3.2667300000000004</v>
      </c>
      <c r="Q6" s="105">
        <f>1.8*J6</f>
        <v>0.59940000000000004</v>
      </c>
      <c r="R6" s="105">
        <f>(H6/Q6)^2.56</f>
        <v>3.0364629402809769</v>
      </c>
      <c r="S6" s="105">
        <f>P6*R6</f>
        <v>9.9193045809040772</v>
      </c>
      <c r="T6" s="124">
        <f>S6^0.5</f>
        <v>3.1494927497779823</v>
      </c>
    </row>
    <row r="7" spans="1:87" s="87" customFormat="1" ht="15.75" thickBot="1" x14ac:dyDescent="0.3">
      <c r="A7" s="91" t="s">
        <v>3</v>
      </c>
      <c r="B7" s="136">
        <f>AVERAGE(B4:B6)</f>
        <v>7.44</v>
      </c>
      <c r="C7" s="136">
        <f t="shared" ref="C7:T7" si="5">AVERAGE(C4:C6)</f>
        <v>30.153083678721668</v>
      </c>
      <c r="D7" s="136">
        <f t="shared" si="5"/>
        <v>33.479999999999997</v>
      </c>
      <c r="E7" s="136">
        <f t="shared" si="5"/>
        <v>96.833333333333329</v>
      </c>
      <c r="F7" s="137">
        <f t="shared" si="5"/>
        <v>3.2116989664851801</v>
      </c>
      <c r="G7" s="138">
        <f t="shared" si="5"/>
        <v>2.8923155653909665</v>
      </c>
      <c r="H7" s="139">
        <f t="shared" si="5"/>
        <v>0.96833333333333338</v>
      </c>
      <c r="I7" s="140">
        <f t="shared" si="5"/>
        <v>0.30153083678721671</v>
      </c>
      <c r="J7" s="141">
        <f t="shared" si="5"/>
        <v>0.33479999999999999</v>
      </c>
      <c r="K7" s="142">
        <f t="shared" si="5"/>
        <v>2.958017508882596</v>
      </c>
      <c r="L7" s="136">
        <f t="shared" si="5"/>
        <v>0.54275550621699009</v>
      </c>
      <c r="M7" s="136">
        <f t="shared" si="5"/>
        <v>4.410242644501758</v>
      </c>
      <c r="N7" s="136">
        <f t="shared" si="5"/>
        <v>13.042101180949851</v>
      </c>
      <c r="O7" s="143">
        <f t="shared" si="5"/>
        <v>3.6088959492449155</v>
      </c>
      <c r="P7" s="142">
        <f t="shared" si="5"/>
        <v>3.2843880000000003</v>
      </c>
      <c r="Q7" s="136">
        <f t="shared" si="5"/>
        <v>0.60264000000000006</v>
      </c>
      <c r="R7" s="136">
        <f t="shared" si="5"/>
        <v>3.3728324128679881</v>
      </c>
      <c r="S7" s="136">
        <f t="shared" si="5"/>
        <v>11.077132875522551</v>
      </c>
      <c r="T7" s="143">
        <f t="shared" si="5"/>
        <v>3.3258666460338708</v>
      </c>
    </row>
    <row r="9" spans="1:87" x14ac:dyDescent="0.25">
      <c r="E9" s="40" t="s">
        <v>56</v>
      </c>
      <c r="F9" s="83" t="s">
        <v>57</v>
      </c>
      <c r="G9" s="83" t="s">
        <v>60</v>
      </c>
    </row>
    <row r="10" spans="1:87" x14ac:dyDescent="0.25">
      <c r="F10" s="84" t="s">
        <v>58</v>
      </c>
      <c r="G10" s="85" t="s">
        <v>61</v>
      </c>
    </row>
    <row r="11" spans="1:87" x14ac:dyDescent="0.25">
      <c r="F11" s="86" t="s">
        <v>59</v>
      </c>
      <c r="G11" s="86" t="s">
        <v>62</v>
      </c>
    </row>
    <row r="12" spans="1:87" x14ac:dyDescent="0.25">
      <c r="A12" s="180"/>
    </row>
    <row r="14" spans="1:87" x14ac:dyDescent="0.25">
      <c r="A14">
        <v>1</v>
      </c>
      <c r="B14" s="190" t="s">
        <v>83</v>
      </c>
    </row>
  </sheetData>
  <mergeCells count="2">
    <mergeCell ref="F1:J1"/>
    <mergeCell ref="P1:T1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9E5B0-1EC8-4BB9-A3F3-E1A6E0E66F9C}">
  <dimension ref="A1:T13"/>
  <sheetViews>
    <sheetView zoomScale="90" zoomScaleNormal="90" workbookViewId="0">
      <selection activeCell="D16" sqref="D16"/>
    </sheetView>
  </sheetViews>
  <sheetFormatPr defaultRowHeight="15" x14ac:dyDescent="0.25"/>
  <cols>
    <col min="1" max="1" width="2" customWidth="1"/>
    <col min="2" max="2" width="10.28515625" customWidth="1"/>
    <col min="3" max="3" width="10.85546875" customWidth="1"/>
    <col min="4" max="4" width="12" customWidth="1"/>
    <col min="5" max="5" width="8.140625" bestFit="1" customWidth="1"/>
    <col min="6" max="8" width="6.42578125" customWidth="1"/>
    <col min="9" max="9" width="7.85546875" customWidth="1"/>
    <col min="10" max="10" width="9" customWidth="1"/>
    <col min="11" max="11" width="6.7109375" customWidth="1"/>
    <col min="12" max="12" width="5.85546875" bestFit="1" customWidth="1"/>
    <col min="13" max="13" width="5.28515625" style="5" bestFit="1" customWidth="1"/>
    <col min="14" max="14" width="5.5703125" customWidth="1"/>
    <col min="16" max="16" width="6" customWidth="1"/>
    <col min="17" max="17" width="5.85546875" customWidth="1"/>
    <col min="18" max="18" width="6.28515625" customWidth="1"/>
    <col min="19" max="19" width="5.5703125" customWidth="1"/>
    <col min="20" max="20" width="41.7109375" customWidth="1"/>
  </cols>
  <sheetData>
    <row r="1" spans="1:20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7"/>
    </row>
    <row r="2" spans="1:20" ht="76.5" customHeight="1" thickBo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7"/>
    </row>
    <row r="3" spans="1:20" ht="32.25" thickBot="1" x14ac:dyDescent="0.3">
      <c r="A3" s="1"/>
      <c r="B3" s="45" t="s">
        <v>0</v>
      </c>
      <c r="C3" s="46" t="s">
        <v>73</v>
      </c>
      <c r="D3" s="14" t="s">
        <v>74</v>
      </c>
      <c r="E3" s="14" t="s">
        <v>26</v>
      </c>
      <c r="F3" s="47" t="s">
        <v>40</v>
      </c>
      <c r="G3" s="48" t="s">
        <v>38</v>
      </c>
      <c r="H3" s="48" t="s">
        <v>39</v>
      </c>
      <c r="I3" s="48" t="s">
        <v>41</v>
      </c>
      <c r="J3" s="48" t="s">
        <v>37</v>
      </c>
      <c r="K3" s="14" t="s">
        <v>44</v>
      </c>
      <c r="L3" s="14" t="s">
        <v>1</v>
      </c>
      <c r="M3" s="15" t="s">
        <v>2</v>
      </c>
      <c r="N3" s="15" t="s">
        <v>46</v>
      </c>
      <c r="O3" s="17" t="s">
        <v>72</v>
      </c>
      <c r="P3" s="49" t="s">
        <v>45</v>
      </c>
      <c r="Q3" s="49" t="s">
        <v>34</v>
      </c>
      <c r="R3" s="49" t="s">
        <v>35</v>
      </c>
      <c r="S3" s="49" t="s">
        <v>36</v>
      </c>
      <c r="T3" s="70" t="s">
        <v>87</v>
      </c>
    </row>
    <row r="4" spans="1:20" x14ac:dyDescent="0.25">
      <c r="A4" s="1"/>
      <c r="B4" s="76" t="s">
        <v>48</v>
      </c>
      <c r="C4" s="67" t="s">
        <v>54</v>
      </c>
      <c r="D4" s="57">
        <v>4</v>
      </c>
      <c r="E4" s="57">
        <v>2.5</v>
      </c>
      <c r="F4" s="13">
        <v>56</v>
      </c>
      <c r="G4" s="13">
        <v>3.33</v>
      </c>
      <c r="H4" s="13">
        <v>3.56</v>
      </c>
      <c r="I4" s="57">
        <f>G4/H4</f>
        <v>0.9353932584269663</v>
      </c>
      <c r="J4" s="57">
        <f>G4/D4</f>
        <v>0.83250000000000002</v>
      </c>
      <c r="K4" s="13">
        <v>27</v>
      </c>
      <c r="L4" s="13">
        <v>18</v>
      </c>
      <c r="M4" s="13">
        <v>9</v>
      </c>
      <c r="N4" s="58"/>
      <c r="O4" s="13">
        <v>3</v>
      </c>
      <c r="P4" s="59"/>
      <c r="Q4" s="13">
        <v>5.1920000000000002</v>
      </c>
      <c r="R4" s="13">
        <v>6.62</v>
      </c>
      <c r="S4" s="13">
        <v>6.6849999999999996</v>
      </c>
      <c r="T4" s="53" t="s">
        <v>50</v>
      </c>
    </row>
    <row r="5" spans="1:20" ht="15.75" thickBot="1" x14ac:dyDescent="0.3">
      <c r="A5" s="1"/>
      <c r="B5" s="77" t="s">
        <v>49</v>
      </c>
      <c r="C5" s="68">
        <v>12.5</v>
      </c>
      <c r="D5" s="32">
        <v>5</v>
      </c>
      <c r="E5" s="32">
        <f>C5/D5</f>
        <v>2.5</v>
      </c>
      <c r="F5" s="60">
        <v>50</v>
      </c>
      <c r="G5" s="6">
        <v>5.13</v>
      </c>
      <c r="H5" s="6">
        <v>4.8</v>
      </c>
      <c r="I5" s="32">
        <f t="shared" ref="I5" si="0">G5/H5</f>
        <v>1.0687500000000001</v>
      </c>
      <c r="J5" s="32">
        <f>G5/D5</f>
        <v>1.026</v>
      </c>
      <c r="K5" s="60">
        <v>30</v>
      </c>
      <c r="L5" s="60">
        <v>14</v>
      </c>
      <c r="M5" s="60">
        <v>16</v>
      </c>
      <c r="N5" s="61"/>
      <c r="O5" s="6">
        <v>3</v>
      </c>
      <c r="P5" s="62"/>
      <c r="Q5" s="6">
        <v>7.1390000000000002</v>
      </c>
      <c r="R5" s="6">
        <v>9.6</v>
      </c>
      <c r="S5" s="6">
        <v>7.3940000000000001</v>
      </c>
      <c r="T5" s="53" t="s">
        <v>53</v>
      </c>
    </row>
    <row r="6" spans="1:20" ht="15.75" thickBot="1" x14ac:dyDescent="0.3">
      <c r="A6" s="1"/>
      <c r="B6" s="78" t="s">
        <v>3</v>
      </c>
      <c r="C6" s="69">
        <v>11.25</v>
      </c>
      <c r="D6" s="50">
        <f t="shared" ref="D6:M6" si="1">AVERAGE(D4:D5)</f>
        <v>4.5</v>
      </c>
      <c r="E6" s="50">
        <f t="shared" si="1"/>
        <v>2.5</v>
      </c>
      <c r="F6" s="51">
        <f t="shared" si="1"/>
        <v>53</v>
      </c>
      <c r="G6" s="50">
        <f t="shared" si="1"/>
        <v>4.2300000000000004</v>
      </c>
      <c r="H6" s="50">
        <f t="shared" si="1"/>
        <v>4.18</v>
      </c>
      <c r="I6" s="50">
        <f t="shared" si="1"/>
        <v>1.0020716292134833</v>
      </c>
      <c r="J6" s="50">
        <f t="shared" si="1"/>
        <v>0.92925000000000002</v>
      </c>
      <c r="K6" s="51">
        <f t="shared" si="1"/>
        <v>28.5</v>
      </c>
      <c r="L6" s="51">
        <f t="shared" si="1"/>
        <v>16</v>
      </c>
      <c r="M6" s="51">
        <f t="shared" si="1"/>
        <v>12.5</v>
      </c>
      <c r="N6" s="63"/>
      <c r="O6" s="21"/>
      <c r="P6" s="63"/>
      <c r="Q6" s="10">
        <f>AVERAGE(Q4:Q4)</f>
        <v>5.1920000000000002</v>
      </c>
      <c r="R6" s="10">
        <f>AVERAGE(R4:R5)</f>
        <v>8.11</v>
      </c>
      <c r="S6" s="10">
        <f>AVERAGE(S4:S5)</f>
        <v>7.0395000000000003</v>
      </c>
      <c r="T6" s="56"/>
    </row>
    <row r="7" spans="1:20" x14ac:dyDescent="0.25">
      <c r="B7" s="77" t="s">
        <v>51</v>
      </c>
      <c r="C7" s="36">
        <v>7.5</v>
      </c>
      <c r="D7" s="35">
        <v>6</v>
      </c>
      <c r="E7" s="32">
        <f>C7/D7</f>
        <v>1.25</v>
      </c>
      <c r="F7" s="6">
        <v>105</v>
      </c>
      <c r="G7" s="64">
        <v>2.2440000000000002</v>
      </c>
      <c r="H7" s="65">
        <v>6</v>
      </c>
      <c r="I7" s="32">
        <f t="shared" ref="I7" si="2">G7/H7</f>
        <v>0.37400000000000005</v>
      </c>
      <c r="J7" s="32">
        <f>G7/D7</f>
        <v>0.37400000000000005</v>
      </c>
      <c r="K7" s="66">
        <v>60</v>
      </c>
      <c r="L7" s="66">
        <v>34</v>
      </c>
      <c r="M7" s="66">
        <v>30</v>
      </c>
      <c r="N7" s="66">
        <v>58</v>
      </c>
      <c r="O7" s="60">
        <v>4</v>
      </c>
      <c r="P7" s="64">
        <v>2.278</v>
      </c>
      <c r="Q7" s="64">
        <v>4.6520000000000001</v>
      </c>
      <c r="R7" s="64">
        <v>5.7729999999999997</v>
      </c>
      <c r="S7" s="64">
        <v>6.0890000000000004</v>
      </c>
      <c r="T7" s="53" t="s">
        <v>55</v>
      </c>
    </row>
    <row r="8" spans="1:20" ht="15.75" thickBot="1" x14ac:dyDescent="0.3">
      <c r="B8" s="79" t="s">
        <v>52</v>
      </c>
      <c r="C8" s="52">
        <v>7.8</v>
      </c>
      <c r="D8" s="52">
        <v>5.7</v>
      </c>
      <c r="E8" s="32">
        <f>C8/D8</f>
        <v>1.368421052631579</v>
      </c>
      <c r="F8" s="52">
        <v>78</v>
      </c>
      <c r="G8" s="52">
        <v>3.4</v>
      </c>
      <c r="H8" s="52">
        <v>5.6</v>
      </c>
      <c r="I8" s="32">
        <f t="shared" ref="I8" si="3">G8/H8</f>
        <v>0.60714285714285721</v>
      </c>
      <c r="J8" s="32">
        <f>G8/D8</f>
        <v>0.59649122807017541</v>
      </c>
      <c r="K8" s="52">
        <v>52</v>
      </c>
      <c r="L8" s="52">
        <v>25</v>
      </c>
      <c r="M8" s="52">
        <v>26</v>
      </c>
      <c r="N8" s="61"/>
      <c r="O8" s="52">
        <v>3</v>
      </c>
      <c r="P8" s="62"/>
      <c r="Q8" s="64">
        <v>2.7109999999999999</v>
      </c>
      <c r="R8" s="64">
        <v>5.9329999999999998</v>
      </c>
      <c r="S8" s="64">
        <v>5.2789999999999999</v>
      </c>
      <c r="T8" s="54" t="s">
        <v>55</v>
      </c>
    </row>
    <row r="9" spans="1:20" ht="15.75" thickBot="1" x14ac:dyDescent="0.3">
      <c r="B9" s="4" t="s">
        <v>3</v>
      </c>
      <c r="C9" s="50">
        <f t="shared" ref="C9:M9" si="4">AVERAGE(C7:C8)</f>
        <v>7.65</v>
      </c>
      <c r="D9" s="50">
        <f t="shared" si="4"/>
        <v>5.85</v>
      </c>
      <c r="E9" s="50">
        <f t="shared" si="4"/>
        <v>1.3092105263157894</v>
      </c>
      <c r="F9" s="51">
        <f t="shared" si="4"/>
        <v>91.5</v>
      </c>
      <c r="G9" s="50">
        <f t="shared" si="4"/>
        <v>2.8220000000000001</v>
      </c>
      <c r="H9" s="50">
        <f t="shared" si="4"/>
        <v>5.8</v>
      </c>
      <c r="I9" s="50">
        <f t="shared" si="4"/>
        <v>0.49057142857142866</v>
      </c>
      <c r="J9" s="50">
        <f t="shared" si="4"/>
        <v>0.4852456140350877</v>
      </c>
      <c r="K9" s="51">
        <f t="shared" si="4"/>
        <v>56</v>
      </c>
      <c r="L9" s="51">
        <f t="shared" si="4"/>
        <v>29.5</v>
      </c>
      <c r="M9" s="51">
        <f t="shared" si="4"/>
        <v>28</v>
      </c>
      <c r="N9" s="63"/>
      <c r="O9" s="21"/>
      <c r="P9" s="63"/>
      <c r="Q9" s="50">
        <f>AVERAGE(Q7:Q8)</f>
        <v>3.6814999999999998</v>
      </c>
      <c r="R9" s="10">
        <f>AVERAGE(R7:R8)</f>
        <v>5.8529999999999998</v>
      </c>
      <c r="S9" s="10">
        <f>AVERAGE(S7:S8)</f>
        <v>5.6840000000000002</v>
      </c>
      <c r="T9" s="55"/>
    </row>
    <row r="12" spans="1:20" x14ac:dyDescent="0.25">
      <c r="A12">
        <v>3</v>
      </c>
      <c r="B12" t="s">
        <v>85</v>
      </c>
      <c r="M12"/>
    </row>
    <row r="13" spans="1:20" x14ac:dyDescent="0.25">
      <c r="A13">
        <v>4</v>
      </c>
      <c r="B13" t="s">
        <v>86</v>
      </c>
      <c r="M13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CF77B-DCF8-4D3C-B0C0-09514AEEE4C3}">
  <dimension ref="A1:B4"/>
  <sheetViews>
    <sheetView workbookViewId="0">
      <selection sqref="A1:XFD1"/>
    </sheetView>
  </sheetViews>
  <sheetFormatPr defaultRowHeight="15" x14ac:dyDescent="0.25"/>
  <sheetData>
    <row r="1" spans="1:2" x14ac:dyDescent="0.25">
      <c r="A1">
        <v>1</v>
      </c>
      <c r="B1" s="190" t="s">
        <v>83</v>
      </c>
    </row>
    <row r="2" spans="1:2" x14ac:dyDescent="0.25">
      <c r="A2">
        <v>2</v>
      </c>
      <c r="B2" s="189" t="s">
        <v>84</v>
      </c>
    </row>
    <row r="3" spans="1:2" x14ac:dyDescent="0.25">
      <c r="A3">
        <v>3</v>
      </c>
      <c r="B3" t="s">
        <v>85</v>
      </c>
    </row>
    <row r="4" spans="1:2" x14ac:dyDescent="0.25">
      <c r="A4">
        <v>4</v>
      </c>
      <c r="B4" t="s">
        <v>86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HOW TO CITE</vt:lpstr>
      <vt:lpstr>Supplementary figure 1</vt:lpstr>
      <vt:lpstr>Supplementary table 1</vt:lpstr>
      <vt:lpstr>Supplementary table 2</vt:lpstr>
      <vt:lpstr>Supplementary table 3</vt:lpstr>
      <vt:lpstr>Supplementary table 4</vt:lpstr>
      <vt:lpstr>Supplementary table 5</vt:lpstr>
      <vt:lpstr>References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Miengah</dc:creator>
  <cp:lastModifiedBy>SAJS</cp:lastModifiedBy>
  <dcterms:created xsi:type="dcterms:W3CDTF">2018-02-26T09:33:54Z</dcterms:created>
  <dcterms:modified xsi:type="dcterms:W3CDTF">2021-11-29T19:24:10Z</dcterms:modified>
</cp:coreProperties>
</file>